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SW/swc/primarycare/Restricted document/GPTP/Workforce/ARRS/ARRS Modelling Tool (NHSEI SW)/"/>
    </mc:Choice>
  </mc:AlternateContent>
  <xr:revisionPtr revIDLastSave="333" documentId="8_{1FD674CC-B19E-4E26-944F-6953F07F41B7}" xr6:coauthVersionLast="45" xr6:coauthVersionMax="45" xr10:uidLastSave="{B4A4F639-38EB-493F-986A-41D06FB6397C}"/>
  <bookViews>
    <workbookView xWindow="-120" yWindow="-16320" windowWidth="29040" windowHeight="15840" xr2:uid="{C88378B6-C59E-4ED9-93B3-7DAB15AB65AF}"/>
  </bookViews>
  <sheets>
    <sheet name="WTE Modelling" sheetId="5" r:id="rId1"/>
    <sheet name="Max Reimbursement Rates" sheetId="8" r:id="rId2"/>
    <sheet name="Lookup" sheetId="1" state="hidden" r:id="rId3"/>
    <sheet name="Version History" sheetId="9" state="hidden" r:id="rId4"/>
  </sheets>
  <definedNames>
    <definedName name="CCG">Lookup!$Q$1:$W$1</definedName>
    <definedName name="List_Size_PCN">'WTE Modelling'!$B$7</definedName>
    <definedName name="NHS_BNSSG_CCG">Lookup!$R$2:$R$20</definedName>
    <definedName name="NHS_BSW_CCG">Lookup!$Q$2:$Q$27</definedName>
    <definedName name="NHS_Devon_CCG">Lookup!$S$2:$S$32</definedName>
    <definedName name="NHS_Dorset_CCG">Lookup!$T$2:$T$19</definedName>
    <definedName name="NHS_Gloucestershire_CCG">Lookup!$U$2:$U$16</definedName>
    <definedName name="NHS_Kernow_CCG">Lookup!$V$2:$V$18</definedName>
    <definedName name="NHS_Somerset_CCG">Lookup!$W$2:$W$17</definedName>
    <definedName name="South_West">Lookup!$X$2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5" l="1"/>
  <c r="E33" i="8"/>
  <c r="F33" i="8" s="1"/>
  <c r="E32" i="8"/>
  <c r="E31" i="8"/>
  <c r="E30" i="8"/>
  <c r="F30" i="8" s="1"/>
  <c r="F12" i="8"/>
  <c r="F13" i="8"/>
  <c r="F14" i="8"/>
  <c r="F15" i="8"/>
  <c r="F16" i="8"/>
  <c r="F17" i="8"/>
  <c r="F18" i="8"/>
  <c r="F19" i="8"/>
  <c r="F20" i="8"/>
  <c r="F21" i="8"/>
  <c r="F22" i="8"/>
  <c r="F23" i="8"/>
  <c r="F24" i="8"/>
  <c r="F25" i="8"/>
  <c r="F26" i="8"/>
  <c r="F27" i="8"/>
  <c r="F28" i="8"/>
  <c r="F29" i="8"/>
  <c r="F31" i="8"/>
  <c r="F32" i="8"/>
  <c r="F11" i="8"/>
  <c r="D45" i="5" l="1"/>
  <c r="E45" i="5"/>
  <c r="F45" i="5"/>
  <c r="G45" i="5"/>
  <c r="H45" i="5"/>
  <c r="I45" i="5"/>
  <c r="C45" i="5"/>
  <c r="B102" i="5"/>
  <c r="B103" i="5"/>
  <c r="B104" i="5"/>
  <c r="B105" i="5"/>
  <c r="B106" i="5"/>
  <c r="B107" i="5"/>
  <c r="B108" i="5"/>
  <c r="D70" i="5"/>
  <c r="C102" i="5" s="1"/>
  <c r="E70" i="5"/>
  <c r="D102" i="5" s="1"/>
  <c r="F70" i="5"/>
  <c r="E102" i="5" s="1"/>
  <c r="G70" i="5"/>
  <c r="F102" i="5" s="1"/>
  <c r="H70" i="5"/>
  <c r="I70" i="5"/>
  <c r="D71" i="5"/>
  <c r="C103" i="5" s="1"/>
  <c r="E71" i="5"/>
  <c r="D103" i="5" s="1"/>
  <c r="F71" i="5"/>
  <c r="E103" i="5" s="1"/>
  <c r="G71" i="5"/>
  <c r="F103" i="5" s="1"/>
  <c r="H71" i="5"/>
  <c r="I71" i="5"/>
  <c r="D72" i="5"/>
  <c r="C104" i="5" s="1"/>
  <c r="E72" i="5"/>
  <c r="D104" i="5" s="1"/>
  <c r="F72" i="5"/>
  <c r="E104" i="5" s="1"/>
  <c r="G72" i="5"/>
  <c r="F104" i="5" s="1"/>
  <c r="H72" i="5"/>
  <c r="I72" i="5"/>
  <c r="D73" i="5"/>
  <c r="C105" i="5" s="1"/>
  <c r="E73" i="5"/>
  <c r="D105" i="5" s="1"/>
  <c r="F73" i="5"/>
  <c r="E105" i="5" s="1"/>
  <c r="G73" i="5"/>
  <c r="F105" i="5" s="1"/>
  <c r="H73" i="5"/>
  <c r="I73" i="5"/>
  <c r="D74" i="5"/>
  <c r="C106" i="5" s="1"/>
  <c r="E74" i="5"/>
  <c r="D106" i="5" s="1"/>
  <c r="F74" i="5"/>
  <c r="E106" i="5" s="1"/>
  <c r="G74" i="5"/>
  <c r="F106" i="5" s="1"/>
  <c r="H74" i="5"/>
  <c r="I74" i="5"/>
  <c r="D75" i="5"/>
  <c r="C107" i="5" s="1"/>
  <c r="E75" i="5"/>
  <c r="D107" i="5" s="1"/>
  <c r="F75" i="5"/>
  <c r="E107" i="5" s="1"/>
  <c r="G75" i="5"/>
  <c r="F107" i="5" s="1"/>
  <c r="H75" i="5"/>
  <c r="I75" i="5"/>
  <c r="D76" i="5"/>
  <c r="C108" i="5" s="1"/>
  <c r="E76" i="5"/>
  <c r="D108" i="5" s="1"/>
  <c r="F76" i="5"/>
  <c r="E108" i="5" s="1"/>
  <c r="G76" i="5"/>
  <c r="F108" i="5" s="1"/>
  <c r="H76" i="5"/>
  <c r="I76" i="5"/>
  <c r="C70" i="5"/>
  <c r="C71" i="5"/>
  <c r="C72" i="5"/>
  <c r="C73" i="5"/>
  <c r="C74" i="5"/>
  <c r="C75" i="5"/>
  <c r="C76" i="5"/>
  <c r="B74" i="5"/>
  <c r="B75" i="5"/>
  <c r="B76" i="5"/>
  <c r="B70" i="5"/>
  <c r="B71" i="5"/>
  <c r="B72" i="5"/>
  <c r="G104" i="5" l="1"/>
  <c r="G108" i="5"/>
  <c r="G103" i="5"/>
  <c r="G107" i="5"/>
  <c r="G106" i="5"/>
  <c r="G102" i="5"/>
  <c r="G105" i="5"/>
  <c r="C9" i="5" l="1"/>
  <c r="D9" i="5"/>
  <c r="E9" i="5"/>
  <c r="F9" i="5"/>
  <c r="G9" i="5"/>
  <c r="H9" i="5"/>
  <c r="I9" i="5"/>
  <c r="B12" i="5"/>
  <c r="C12" i="5"/>
  <c r="D12" i="5"/>
  <c r="E12" i="5"/>
  <c r="F12" i="5"/>
  <c r="C11" i="5"/>
  <c r="D11" i="5"/>
  <c r="E11" i="5"/>
  <c r="F11" i="5"/>
  <c r="B11" i="5"/>
  <c r="B10" i="5"/>
  <c r="O137" i="1" l="1"/>
  <c r="O138" i="1"/>
  <c r="O139" i="1"/>
  <c r="O140" i="1"/>
  <c r="O141" i="1"/>
  <c r="O142" i="1"/>
  <c r="O143" i="1"/>
  <c r="O144" i="1"/>
  <c r="O145" i="1"/>
  <c r="O146" i="1"/>
  <c r="O147" i="1"/>
  <c r="O148" i="1"/>
  <c r="O136" i="1"/>
  <c r="O119" i="1"/>
  <c r="O120" i="1"/>
  <c r="O121" i="1"/>
  <c r="O122" i="1"/>
  <c r="O123" i="1"/>
  <c r="O124" i="1"/>
  <c r="O125" i="1"/>
  <c r="O126" i="1"/>
  <c r="O127" i="1"/>
  <c r="O128" i="1"/>
  <c r="O129" i="1"/>
  <c r="O130" i="1"/>
  <c r="O131" i="1"/>
  <c r="O132" i="1"/>
  <c r="O118" i="1"/>
  <c r="O103" i="1"/>
  <c r="O104" i="1"/>
  <c r="O105" i="1"/>
  <c r="O106" i="1"/>
  <c r="O107" i="1"/>
  <c r="O108" i="1"/>
  <c r="O109" i="1"/>
  <c r="O110" i="1"/>
  <c r="O111" i="1"/>
  <c r="O112" i="1"/>
  <c r="O113" i="1"/>
  <c r="O114" i="1"/>
  <c r="O115" i="1"/>
  <c r="O116" i="1"/>
  <c r="O102" i="1"/>
  <c r="O84" i="1"/>
  <c r="O85" i="1"/>
  <c r="O86" i="1"/>
  <c r="O87" i="1"/>
  <c r="O88" i="1"/>
  <c r="O89" i="1"/>
  <c r="O90" i="1"/>
  <c r="O91" i="1"/>
  <c r="O92" i="1"/>
  <c r="O93" i="1"/>
  <c r="O94" i="1"/>
  <c r="O95" i="1"/>
  <c r="O96" i="1"/>
  <c r="O97" i="1"/>
  <c r="O98" i="1"/>
  <c r="O99" i="1"/>
  <c r="O100" i="1"/>
  <c r="O83"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51" i="1"/>
  <c r="O32" i="1"/>
  <c r="O33" i="1"/>
  <c r="O34" i="1"/>
  <c r="O35" i="1"/>
  <c r="O36" i="1"/>
  <c r="O37" i="1"/>
  <c r="O38" i="1"/>
  <c r="O39" i="1"/>
  <c r="O40" i="1"/>
  <c r="O41" i="1"/>
  <c r="O42" i="1"/>
  <c r="O43" i="1"/>
  <c r="O44" i="1"/>
  <c r="O45" i="1"/>
  <c r="O46" i="1"/>
  <c r="O47" i="1"/>
  <c r="O48" i="1"/>
  <c r="O49" i="1"/>
  <c r="O31" i="1"/>
  <c r="O5" i="1"/>
  <c r="O6" i="1"/>
  <c r="O7" i="1"/>
  <c r="O8" i="1"/>
  <c r="O9" i="1"/>
  <c r="O10" i="1"/>
  <c r="O11" i="1"/>
  <c r="O12" i="1"/>
  <c r="O13" i="1"/>
  <c r="O14" i="1"/>
  <c r="O15" i="1"/>
  <c r="O16" i="1"/>
  <c r="O17" i="1"/>
  <c r="O18" i="1"/>
  <c r="O19" i="1"/>
  <c r="O20" i="1"/>
  <c r="O21" i="1"/>
  <c r="O22" i="1"/>
  <c r="O23" i="1"/>
  <c r="O24" i="1"/>
  <c r="O25" i="1"/>
  <c r="O26" i="1"/>
  <c r="O27" i="1"/>
  <c r="O28" i="1"/>
  <c r="O4" i="1"/>
  <c r="J4" i="5"/>
  <c r="B7" i="5"/>
  <c r="I7" i="5" s="1"/>
  <c r="I111" i="5" s="1"/>
  <c r="I11" i="5" s="1"/>
  <c r="J7" i="5" l="1"/>
  <c r="L36" i="5" s="1"/>
  <c r="G7" i="5"/>
  <c r="G111" i="5" s="1"/>
  <c r="G11" i="5" s="1"/>
  <c r="H7" i="5"/>
  <c r="H111" i="5" s="1"/>
  <c r="H11" i="5" s="1"/>
  <c r="L45" i="5" l="1"/>
  <c r="M45" i="5"/>
  <c r="N45" i="5"/>
  <c r="N40" i="5"/>
  <c r="M40" i="5"/>
  <c r="L40" i="5"/>
  <c r="N36" i="5"/>
  <c r="M36" i="5"/>
  <c r="G18" i="1" l="1"/>
  <c r="F18" i="1"/>
  <c r="E18" i="1"/>
  <c r="D18" i="1"/>
  <c r="C18" i="1"/>
  <c r="B83" i="5" l="1"/>
  <c r="B84" i="5"/>
  <c r="B85" i="5"/>
  <c r="B86" i="5"/>
  <c r="B87" i="5"/>
  <c r="B88" i="5"/>
  <c r="B89" i="5"/>
  <c r="B90" i="5"/>
  <c r="B91" i="5"/>
  <c r="B92" i="5"/>
  <c r="B93" i="5"/>
  <c r="B94" i="5"/>
  <c r="B95" i="5"/>
  <c r="B96" i="5"/>
  <c r="B97" i="5"/>
  <c r="B98" i="5"/>
  <c r="B99" i="5"/>
  <c r="B100" i="5"/>
  <c r="B101" i="5"/>
  <c r="B82" i="5"/>
  <c r="C51" i="5"/>
  <c r="D51" i="5"/>
  <c r="C83" i="5" s="1"/>
  <c r="E51" i="5"/>
  <c r="D83" i="5" s="1"/>
  <c r="F51" i="5"/>
  <c r="E83" i="5" s="1"/>
  <c r="G51" i="5"/>
  <c r="F83" i="5" s="1"/>
  <c r="H51" i="5"/>
  <c r="I51" i="5"/>
  <c r="C52" i="5"/>
  <c r="D52" i="5"/>
  <c r="C84" i="5" s="1"/>
  <c r="E52" i="5"/>
  <c r="D84" i="5" s="1"/>
  <c r="F52" i="5"/>
  <c r="E84" i="5" s="1"/>
  <c r="G52" i="5"/>
  <c r="F84" i="5" s="1"/>
  <c r="H52" i="5"/>
  <c r="I52" i="5"/>
  <c r="C53" i="5"/>
  <c r="D53" i="5"/>
  <c r="C85" i="5" s="1"/>
  <c r="E53" i="5"/>
  <c r="D85" i="5" s="1"/>
  <c r="F53" i="5"/>
  <c r="E85" i="5" s="1"/>
  <c r="G53" i="5"/>
  <c r="F85" i="5" s="1"/>
  <c r="H53" i="5"/>
  <c r="I53" i="5"/>
  <c r="C54" i="5"/>
  <c r="D54" i="5"/>
  <c r="C86" i="5" s="1"/>
  <c r="E54" i="5"/>
  <c r="D86" i="5" s="1"/>
  <c r="F54" i="5"/>
  <c r="E86" i="5" s="1"/>
  <c r="G54" i="5"/>
  <c r="F86" i="5" s="1"/>
  <c r="H54" i="5"/>
  <c r="I54" i="5"/>
  <c r="C55" i="5"/>
  <c r="D55" i="5"/>
  <c r="C87" i="5" s="1"/>
  <c r="E55" i="5"/>
  <c r="D87" i="5" s="1"/>
  <c r="F55" i="5"/>
  <c r="E87" i="5" s="1"/>
  <c r="G55" i="5"/>
  <c r="F87" i="5" s="1"/>
  <c r="H55" i="5"/>
  <c r="I55" i="5"/>
  <c r="C56" i="5"/>
  <c r="D56" i="5"/>
  <c r="C88" i="5" s="1"/>
  <c r="E56" i="5"/>
  <c r="D88" i="5" s="1"/>
  <c r="F56" i="5"/>
  <c r="E88" i="5" s="1"/>
  <c r="G56" i="5"/>
  <c r="F88" i="5" s="1"/>
  <c r="H56" i="5"/>
  <c r="I56" i="5"/>
  <c r="C57" i="5"/>
  <c r="D57" i="5"/>
  <c r="C89" i="5" s="1"/>
  <c r="E57" i="5"/>
  <c r="D89" i="5" s="1"/>
  <c r="F57" i="5"/>
  <c r="E89" i="5" s="1"/>
  <c r="G57" i="5"/>
  <c r="F89" i="5" s="1"/>
  <c r="H57" i="5"/>
  <c r="I57" i="5"/>
  <c r="C58" i="5"/>
  <c r="D58" i="5"/>
  <c r="C90" i="5" s="1"/>
  <c r="E58" i="5"/>
  <c r="D90" i="5" s="1"/>
  <c r="F58" i="5"/>
  <c r="E90" i="5" s="1"/>
  <c r="G58" i="5"/>
  <c r="F90" i="5" s="1"/>
  <c r="H58" i="5"/>
  <c r="I58" i="5"/>
  <c r="C59" i="5"/>
  <c r="D59" i="5"/>
  <c r="C91" i="5" s="1"/>
  <c r="E59" i="5"/>
  <c r="D91" i="5" s="1"/>
  <c r="F59" i="5"/>
  <c r="E91" i="5" s="1"/>
  <c r="G59" i="5"/>
  <c r="F91" i="5" s="1"/>
  <c r="H59" i="5"/>
  <c r="I59" i="5"/>
  <c r="C60" i="5"/>
  <c r="D60" i="5"/>
  <c r="C92" i="5" s="1"/>
  <c r="E60" i="5"/>
  <c r="D92" i="5" s="1"/>
  <c r="F60" i="5"/>
  <c r="E92" i="5" s="1"/>
  <c r="G60" i="5"/>
  <c r="F92" i="5" s="1"/>
  <c r="H60" i="5"/>
  <c r="I60" i="5"/>
  <c r="C61" i="5"/>
  <c r="D61" i="5"/>
  <c r="C93" i="5" s="1"/>
  <c r="E61" i="5"/>
  <c r="D93" i="5" s="1"/>
  <c r="F61" i="5"/>
  <c r="E93" i="5" s="1"/>
  <c r="G61" i="5"/>
  <c r="F93" i="5" s="1"/>
  <c r="H61" i="5"/>
  <c r="I61" i="5"/>
  <c r="C62" i="5"/>
  <c r="D62" i="5"/>
  <c r="C94" i="5" s="1"/>
  <c r="E62" i="5"/>
  <c r="D94" i="5" s="1"/>
  <c r="F62" i="5"/>
  <c r="E94" i="5" s="1"/>
  <c r="G62" i="5"/>
  <c r="F94" i="5" s="1"/>
  <c r="H62" i="5"/>
  <c r="I62" i="5"/>
  <c r="C63" i="5"/>
  <c r="D63" i="5"/>
  <c r="C95" i="5" s="1"/>
  <c r="E63" i="5"/>
  <c r="D95" i="5" s="1"/>
  <c r="F63" i="5"/>
  <c r="E95" i="5" s="1"/>
  <c r="G63" i="5"/>
  <c r="F95" i="5" s="1"/>
  <c r="H63" i="5"/>
  <c r="I63" i="5"/>
  <c r="C64" i="5"/>
  <c r="D64" i="5"/>
  <c r="C96" i="5" s="1"/>
  <c r="E64" i="5"/>
  <c r="D96" i="5" s="1"/>
  <c r="F64" i="5"/>
  <c r="E96" i="5" s="1"/>
  <c r="G64" i="5"/>
  <c r="F96" i="5" s="1"/>
  <c r="H64" i="5"/>
  <c r="I64" i="5"/>
  <c r="C65" i="5"/>
  <c r="D65" i="5"/>
  <c r="C97" i="5" s="1"/>
  <c r="E65" i="5"/>
  <c r="D97" i="5" s="1"/>
  <c r="F65" i="5"/>
  <c r="E97" i="5" s="1"/>
  <c r="G65" i="5"/>
  <c r="F97" i="5" s="1"/>
  <c r="H65" i="5"/>
  <c r="I65" i="5"/>
  <c r="C66" i="5"/>
  <c r="D66" i="5"/>
  <c r="C98" i="5" s="1"/>
  <c r="E66" i="5"/>
  <c r="D98" i="5" s="1"/>
  <c r="F66" i="5"/>
  <c r="E98" i="5" s="1"/>
  <c r="G66" i="5"/>
  <c r="F98" i="5" s="1"/>
  <c r="H66" i="5"/>
  <c r="I66" i="5"/>
  <c r="C67" i="5"/>
  <c r="D67" i="5"/>
  <c r="C99" i="5" s="1"/>
  <c r="E67" i="5"/>
  <c r="D99" i="5" s="1"/>
  <c r="F67" i="5"/>
  <c r="E99" i="5" s="1"/>
  <c r="G67" i="5"/>
  <c r="F99" i="5" s="1"/>
  <c r="H67" i="5"/>
  <c r="I67" i="5"/>
  <c r="C68" i="5"/>
  <c r="D68" i="5"/>
  <c r="C100" i="5" s="1"/>
  <c r="E68" i="5"/>
  <c r="D100" i="5" s="1"/>
  <c r="F68" i="5"/>
  <c r="E100" i="5" s="1"/>
  <c r="G68" i="5"/>
  <c r="F100" i="5" s="1"/>
  <c r="H68" i="5"/>
  <c r="I68" i="5"/>
  <c r="C69" i="5"/>
  <c r="D69" i="5"/>
  <c r="E69" i="5"/>
  <c r="F69" i="5"/>
  <c r="E101" i="5" s="1"/>
  <c r="G69" i="5"/>
  <c r="F101" i="5" s="1"/>
  <c r="H69" i="5"/>
  <c r="I69" i="5"/>
  <c r="I50" i="5"/>
  <c r="H50" i="5"/>
  <c r="G50" i="5"/>
  <c r="F82" i="5" s="1"/>
  <c r="F50" i="5"/>
  <c r="E82" i="5" s="1"/>
  <c r="E50" i="5"/>
  <c r="D82" i="5" s="1"/>
  <c r="E44" i="5"/>
  <c r="G44" i="5"/>
  <c r="D50" i="5"/>
  <c r="C82" i="5" s="1"/>
  <c r="C50" i="5"/>
  <c r="C44" i="5"/>
  <c r="C77" i="5" l="1"/>
  <c r="F109" i="5"/>
  <c r="F10" i="5" s="1"/>
  <c r="G77" i="5"/>
  <c r="E109" i="5"/>
  <c r="E10" i="5" s="1"/>
  <c r="F77" i="5"/>
  <c r="D101" i="5"/>
  <c r="D109" i="5" s="1"/>
  <c r="D10" i="5" s="1"/>
  <c r="E77" i="5"/>
  <c r="C101" i="5"/>
  <c r="C109" i="5" s="1"/>
  <c r="C10" i="5" s="1"/>
  <c r="D77" i="5"/>
  <c r="H77" i="5"/>
  <c r="I77" i="5"/>
  <c r="G83" i="5"/>
  <c r="G91" i="5"/>
  <c r="G96" i="5"/>
  <c r="G88" i="5"/>
  <c r="G100" i="5"/>
  <c r="G92" i="5"/>
  <c r="G84" i="5"/>
  <c r="G93" i="5"/>
  <c r="G85" i="5"/>
  <c r="G95" i="5"/>
  <c r="G99" i="5"/>
  <c r="G89" i="5"/>
  <c r="G94" i="5"/>
  <c r="G86" i="5"/>
  <c r="G98" i="5"/>
  <c r="G87" i="5"/>
  <c r="G97" i="5"/>
  <c r="G90" i="5"/>
  <c r="G82" i="5"/>
  <c r="G101" i="5" l="1"/>
  <c r="G109" i="5" s="1"/>
  <c r="G10" i="5" s="1"/>
  <c r="B51" i="5"/>
  <c r="B52" i="5"/>
  <c r="B53" i="5"/>
  <c r="B54" i="5"/>
  <c r="B55" i="5"/>
  <c r="B56" i="5"/>
  <c r="B57" i="5"/>
  <c r="B58" i="5"/>
  <c r="B59" i="5"/>
  <c r="B60" i="5"/>
  <c r="B61" i="5"/>
  <c r="B62" i="5"/>
  <c r="B63" i="5"/>
  <c r="B64" i="5"/>
  <c r="B65" i="5"/>
  <c r="B66" i="5"/>
  <c r="B67" i="5"/>
  <c r="B68" i="5"/>
  <c r="B69" i="5"/>
  <c r="B73" i="5"/>
  <c r="B50" i="5"/>
  <c r="N135" i="1"/>
  <c r="M135" i="1"/>
  <c r="N117" i="1"/>
  <c r="M117" i="1"/>
  <c r="N3" i="1"/>
  <c r="M3" i="1"/>
  <c r="N101" i="1"/>
  <c r="N82" i="1"/>
  <c r="N50" i="1"/>
  <c r="N30" i="1"/>
  <c r="G23" i="8" l="1"/>
  <c r="I94" i="5" s="1"/>
  <c r="H94" i="5"/>
  <c r="G13" i="8"/>
  <c r="I84" i="5" s="1"/>
  <c r="H84" i="5"/>
  <c r="G17" i="8"/>
  <c r="I88" i="5" s="1"/>
  <c r="H88" i="5"/>
  <c r="G21" i="8"/>
  <c r="I92" i="5" s="1"/>
  <c r="H92" i="5"/>
  <c r="G15" i="8"/>
  <c r="I86" i="5" s="1"/>
  <c r="H86" i="5"/>
  <c r="G19" i="8"/>
  <c r="I90" i="5" s="1"/>
  <c r="H90" i="5"/>
  <c r="G11" i="8" l="1"/>
  <c r="I82" i="5" s="1"/>
  <c r="H82" i="5"/>
  <c r="G31" i="8"/>
  <c r="H106" i="5"/>
  <c r="H102" i="5"/>
  <c r="G27" i="8"/>
  <c r="I98" i="5" s="1"/>
  <c r="H98" i="5"/>
  <c r="G28" i="8"/>
  <c r="I99" i="5" s="1"/>
  <c r="H99" i="5"/>
  <c r="G29" i="8"/>
  <c r="I100" i="5" s="1"/>
  <c r="H100" i="5"/>
  <c r="G14" i="8"/>
  <c r="I85" i="5" s="1"/>
  <c r="H85" i="5"/>
  <c r="G25" i="8"/>
  <c r="I96" i="5" s="1"/>
  <c r="H96" i="5"/>
  <c r="G30" i="8"/>
  <c r="H105" i="5"/>
  <c r="H101" i="5"/>
  <c r="G22" i="8"/>
  <c r="I93" i="5" s="1"/>
  <c r="H93" i="5"/>
  <c r="G12" i="8"/>
  <c r="I83" i="5" s="1"/>
  <c r="H83" i="5"/>
  <c r="G18" i="8"/>
  <c r="I89" i="5" s="1"/>
  <c r="H89" i="5"/>
  <c r="G16" i="8"/>
  <c r="I87" i="5" s="1"/>
  <c r="H87" i="5"/>
  <c r="G20" i="8"/>
  <c r="I91" i="5" s="1"/>
  <c r="H91" i="5"/>
  <c r="G33" i="8"/>
  <c r="H104" i="5"/>
  <c r="H108" i="5"/>
  <c r="G24" i="8"/>
  <c r="I95" i="5" s="1"/>
  <c r="H95" i="5"/>
  <c r="G32" i="8"/>
  <c r="H107" i="5"/>
  <c r="H103" i="5"/>
  <c r="G26" i="8"/>
  <c r="I97" i="5" s="1"/>
  <c r="H97" i="5"/>
  <c r="I44" i="5"/>
  <c r="H44" i="5"/>
  <c r="D44" i="5"/>
  <c r="M30" i="1"/>
  <c r="M50" i="1"/>
  <c r="M101" i="1"/>
  <c r="M82" i="1"/>
  <c r="H109" i="5" l="1"/>
  <c r="H10" i="5" s="1"/>
  <c r="I105" i="5"/>
  <c r="I101" i="5"/>
  <c r="I104" i="5"/>
  <c r="I108" i="5"/>
  <c r="I102" i="5"/>
  <c r="I106" i="5"/>
  <c r="I103" i="5"/>
  <c r="I107" i="5"/>
  <c r="M152" i="1"/>
  <c r="N152" i="1"/>
  <c r="I109" i="5" l="1"/>
  <c r="I10" i="5" s="1"/>
  <c r="H112" i="5"/>
  <c r="H12" i="5" s="1"/>
  <c r="G112" i="5"/>
  <c r="G12" i="5" s="1"/>
  <c r="I112" i="5" l="1"/>
  <c r="I12" i="5" s="1"/>
  <c r="O50" i="1"/>
  <c r="O30" i="1" l="1"/>
  <c r="O3" i="1" l="1"/>
  <c r="O117" i="1"/>
  <c r="O101" i="1"/>
  <c r="O135" i="1"/>
  <c r="O82" i="1"/>
  <c r="O1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Royle, Clare</author>
  </authors>
  <commentList>
    <comment ref="B6" authorId="0" shapeId="0" xr:uid="{AD368E61-15A1-4696-97CE-AFFD2D465A86}">
      <text>
        <r>
          <rPr>
            <sz val="9"/>
            <color indexed="81"/>
            <rFont val="Tahoma"/>
            <family val="2"/>
          </rPr>
          <t>The PCN Weighted List Sizes are from Jan 2021</t>
        </r>
      </text>
    </comment>
    <comment ref="O18" authorId="0" shapeId="0" xr:uid="{D98C8654-941A-405D-84F2-C5C29832739B}">
      <text>
        <r>
          <rPr>
            <sz val="9"/>
            <color indexed="81"/>
            <rFont val="Tahoma"/>
            <family val="2"/>
          </rPr>
          <t xml:space="preserve"> A minimum of 0.5 WTE should apply to the clinical pharmacists employed via 
the Network Contract DES. This is to ensure the clinical pharmacist is able to 
access timely national training and can deliver continuity of care whilst 
working across multiple providers within the PCN.</t>
        </r>
      </text>
    </comment>
    <comment ref="O36" authorId="0" shapeId="0" xr:uid="{D5C3ED08-F013-4414-A16A-046D5E36025B}">
      <text>
        <r>
          <rPr>
            <sz val="9"/>
            <color indexed="81"/>
            <rFont val="Tahoma"/>
            <family val="2"/>
          </rPr>
          <t>PCNs will be entitled to a service equivalent to 1 FTE practitioner per PCN (&lt;99,999 registered patients), or 2 WTE &gt; 99,999. This entitlement will increase to 2 WTE in 2022/23 and 3 WTE by 2023/24, subject to a positive review of implementation.</t>
        </r>
      </text>
    </comment>
    <comment ref="O40" authorId="0" shapeId="0" xr:uid="{B704FE93-7B7F-4C4E-8F25-B0C8C4B71F1D}">
      <text>
        <r>
          <rPr>
            <sz val="9"/>
            <color indexed="81"/>
            <rFont val="Tahoma"/>
            <family val="2"/>
          </rPr>
          <t>The PCN and Mental Health Community Provider may additionally agree to the provision of a service to support child and young people’s (CYP) mental health. Where this is agreed locally, the PCN will be entitled to claim 50 per cent reimbursement for the provision of a CYP MHP service from within the allocated Additional Roles Reimbursement Scheme Sum and in accordance 
with the terms set out in this section 7.3, section 10 and Table 2. The CYP MHP will be employed by the PCN’s local Community Mental Health Provider which will provide the CYP MHP service to the PCN in accordance with the local agreement. A limit of one WTE CYP MHP will apply where the PCN’s patients number 99,999 or fewer, and a limit of two will apply where the PCN’s patients number 100,000 or over.</t>
        </r>
      </text>
    </comment>
    <comment ref="O45" authorId="0" shapeId="0" xr:uid="{AAA7DB87-1AC3-4566-B97B-A1263B7D1AD1}">
      <text>
        <r>
          <rPr>
            <sz val="9"/>
            <color indexed="81"/>
            <rFont val="Tahoma"/>
            <family val="2"/>
          </rPr>
          <t>The number of advanced practitioners will initially be limited to 1 WTE per PCN (&lt;99,999 registered patients), or 2 WTE &gt; 99,999, until the HEE advanced practitioner registration process has been established and implemented (expected by October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Royle, Clare</author>
  </authors>
  <commentList>
    <comment ref="E10" authorId="0" shapeId="0" xr:uid="{36AE1859-FAAE-4C8E-AAA3-4E27CE990FBC}">
      <text>
        <r>
          <rPr>
            <b/>
            <sz val="9"/>
            <color indexed="81"/>
            <rFont val="Tahoma"/>
            <family val="2"/>
          </rPr>
          <t>Royle, Clare:</t>
        </r>
        <r>
          <rPr>
            <sz val="9"/>
            <color indexed="81"/>
            <rFont val="Tahoma"/>
            <family val="2"/>
          </rPr>
          <t xml:space="preserve">
</t>
        </r>
      </text>
    </comment>
    <comment ref="D30" authorId="0" shapeId="0" xr:uid="{03580C50-FC36-4B87-9895-58A524DDB3BA}">
      <text>
        <r>
          <rPr>
            <b/>
            <sz val="9"/>
            <color indexed="81"/>
            <rFont val="Tahoma"/>
            <family val="2"/>
          </rPr>
          <t>Represents 50% funding value</t>
        </r>
      </text>
    </comment>
    <comment ref="E30" authorId="0" shapeId="0" xr:uid="{B72F7B93-BE76-4C2B-BA90-8CEE8FDB647F}">
      <text>
        <r>
          <rPr>
            <b/>
            <sz val="9"/>
            <color indexed="81"/>
            <rFont val="Tahoma"/>
            <family val="2"/>
          </rPr>
          <t>Represents 50% funding value</t>
        </r>
      </text>
    </comment>
    <comment ref="D31" authorId="0" shapeId="0" xr:uid="{FFCC3BAF-8A49-4A17-870C-249FE52E8595}">
      <text>
        <r>
          <rPr>
            <b/>
            <sz val="9"/>
            <color indexed="81"/>
            <rFont val="Tahoma"/>
            <family val="2"/>
          </rPr>
          <t>Represents 50% funding value</t>
        </r>
      </text>
    </comment>
    <comment ref="E31" authorId="0" shapeId="0" xr:uid="{7D70970F-83A5-4D81-A668-CE4AD174D0CB}">
      <text>
        <r>
          <rPr>
            <b/>
            <sz val="9"/>
            <color indexed="81"/>
            <rFont val="Tahoma"/>
            <family val="2"/>
          </rPr>
          <t>Represents 50% funding value</t>
        </r>
      </text>
    </comment>
    <comment ref="D32" authorId="0" shapeId="0" xr:uid="{5C809048-AFF3-416D-9D35-4BD750DED609}">
      <text>
        <r>
          <rPr>
            <b/>
            <sz val="9"/>
            <color indexed="81"/>
            <rFont val="Tahoma"/>
            <family val="2"/>
          </rPr>
          <t>Represents 50% funding value</t>
        </r>
      </text>
    </comment>
    <comment ref="E32" authorId="0" shapeId="0" xr:uid="{D9F65976-948F-4EE8-BD90-FC7D8ED844B3}">
      <text>
        <r>
          <rPr>
            <b/>
            <sz val="9"/>
            <color indexed="81"/>
            <rFont val="Tahoma"/>
            <family val="2"/>
          </rPr>
          <t>Represents 50% funding value</t>
        </r>
      </text>
    </comment>
    <comment ref="D33" authorId="0" shapeId="0" xr:uid="{BD2044C4-9137-4323-9801-93820C896AC7}">
      <text>
        <r>
          <rPr>
            <b/>
            <sz val="9"/>
            <color indexed="81"/>
            <rFont val="Tahoma"/>
            <family val="2"/>
          </rPr>
          <t>Represents 50% funding value</t>
        </r>
      </text>
    </comment>
    <comment ref="E33" authorId="0" shapeId="0" xr:uid="{06A3985B-C0C6-48AC-824A-29C57D4EBA38}">
      <text>
        <r>
          <rPr>
            <b/>
            <sz val="9"/>
            <color indexed="81"/>
            <rFont val="Tahoma"/>
            <family val="2"/>
          </rPr>
          <t>Represents 50% funding value</t>
        </r>
      </text>
    </comment>
  </commentList>
</comments>
</file>

<file path=xl/sharedStrings.xml><?xml version="1.0" encoding="utf-8"?>
<sst xmlns="http://schemas.openxmlformats.org/spreadsheetml/2006/main" count="988" uniqueCount="294">
  <si>
    <t>PCN Size</t>
  </si>
  <si>
    <t>2020/21</t>
  </si>
  <si>
    <t>2021/22</t>
  </si>
  <si>
    <t>2022/23</t>
  </si>
  <si>
    <t>2023/24</t>
  </si>
  <si>
    <t>2019/20</t>
  </si>
  <si>
    <t>Role</t>
  </si>
  <si>
    <t>Paramedic</t>
  </si>
  <si>
    <t>7-8a</t>
  </si>
  <si>
    <t>Maximum Reimbursable Amount per Financial Year</t>
  </si>
  <si>
    <t>Clinical Pharmacist</t>
  </si>
  <si>
    <t>Physician Associate</t>
  </si>
  <si>
    <t>Additional PCN Role</t>
  </si>
  <si>
    <t>Total WTE</t>
  </si>
  <si>
    <t>STP</t>
  </si>
  <si>
    <t>CCG</t>
  </si>
  <si>
    <t>BSW STP</t>
  </si>
  <si>
    <t>Gloucestershire ICS</t>
  </si>
  <si>
    <t>BNSSG STP</t>
  </si>
  <si>
    <t>Cornwall &amp; IOS STP</t>
  </si>
  <si>
    <t>Somerset STP</t>
  </si>
  <si>
    <t>Dorset ICS</t>
  </si>
  <si>
    <t>Primary Care Network</t>
  </si>
  <si>
    <t>List Size</t>
  </si>
  <si>
    <t>Please Enter the WTE Breakdown you wish for each Additional Role Below</t>
  </si>
  <si>
    <t>PCN</t>
  </si>
  <si>
    <t>PT expectation  (where a PCN has a list size of &gt;100,000 the PT count is 2)</t>
  </si>
  <si>
    <t>Social Prescribing link worker</t>
  </si>
  <si>
    <t>up to 5</t>
  </si>
  <si>
    <t>England funding</t>
  </si>
  <si>
    <t>Estimated Figures Based on Percentage Increases In Salary</t>
  </si>
  <si>
    <t>Band</t>
  </si>
  <si>
    <t>Devon STP</t>
  </si>
  <si>
    <t>TASC PCN</t>
  </si>
  <si>
    <t>WEB PCN</t>
  </si>
  <si>
    <t>Practice</t>
  </si>
  <si>
    <t>Nursing Associate</t>
  </si>
  <si>
    <t xml:space="preserve">Funding available per registered patient </t>
  </si>
  <si>
    <t>Trainee Nursing Associate</t>
  </si>
  <si>
    <t>https://www.england.nhs.uk/wp-content/uploads/2019/12/network-contract-des-additional-roles-reimbursement-scheme-guidance-december2019.pdf</t>
  </si>
  <si>
    <t>Dietitians</t>
  </si>
  <si>
    <t>Cumulative WTE Breakdown</t>
  </si>
  <si>
    <t>NHS England » Network Contract Directed Enhanced Service – Contract Specification 2021/22 – PCN Requirements and Entitlements</t>
  </si>
  <si>
    <t xml:space="preserve">2021/22 reimbursement rates are taken from the Network Contract Directed Enhanced Service Contract specification 2021/22 - PCN 
Requirements and Entitlements. Table 2, Page 61.
</t>
  </si>
  <si>
    <t>The rates for 2021/22  -2023/24 (columns in blue) have been worked out based on the % salary increases included in the Network Contract Directed Enhanced Service: Additional Roles Reimbursement Scheme Guidance Published in December 2019. This is 2% for both 2022/23 and 2023/24. Page 8.</t>
  </si>
  <si>
    <t>8a</t>
  </si>
  <si>
    <t>Occupational Therapist</t>
  </si>
  <si>
    <t>Pharmacy Technician</t>
  </si>
  <si>
    <t>Health and Wellbeing Coach</t>
  </si>
  <si>
    <t>Podiatrist</t>
  </si>
  <si>
    <t>First Contact Physiotherapist</t>
  </si>
  <si>
    <t>Care Co-ordinator</t>
  </si>
  <si>
    <t xml:space="preserve">[1] The maximum reimbursable amount is the sum of (a) the weighted average salary for the specified AfC band plus (b) associated employer on-costs. </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</si>
  <si>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</si>
  <si>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</si>
  <si>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[3] The Advanced Practitioner reimbursement tier is only applicable to Clinical Pharmacists, First Contact Physiotherapists, Occupational Therapists, Dieticians, Podiatrists and Paramedics.</t>
  </si>
  <si>
    <t xml:space="preserve">[4] The maximum reimbursable amount is 50 per cent of the sum of (a) the weighted average salary for the specified AfC band plus (b) associated employer on-costs (NHS Pension costs - 14.38%; and Employers' NI). </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</si>
  <si>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</si>
  <si>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</si>
  <si>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Adult Mental Health Practitioner and CYP Mental Health Practitioner [4]</t>
  </si>
  <si>
    <t>PCNs will be entitled to a service equivalent to 1 FTE practitioner per PCN (&lt;99,999 registered patients), or 2 WTE &gt; 99,999. This entitlement will increase to 2 WTE in 2022/23 and 3 WTE by 2023/24, subject to a positive review of implementation.</t>
  </si>
  <si>
    <t>The number of advanced practitioners will initially be limited to 1 WTE per PCN (&lt;99,999 registered patients), or 2 WTE &gt; 99,999, until the HEE advanced practitioner registration process has been established and implemented (expected by October 2021).</t>
  </si>
  <si>
    <t>Limit on number eligible for reimbursement 2021/22</t>
  </si>
  <si>
    <t>Document template (england.nhs.uk)</t>
  </si>
  <si>
    <t>NWLS Jan21</t>
  </si>
  <si>
    <t>Raw List Size Jan21</t>
  </si>
  <si>
    <t>BATH INDEPENDENTS PCN</t>
  </si>
  <si>
    <t>BRADFORD ON AVON &amp; MELKSHAM PCN</t>
  </si>
  <si>
    <t>BRUNEL HEALTH GROUP PCN1</t>
  </si>
  <si>
    <t>BRUNEL HEALTH GROUP PCN2</t>
  </si>
  <si>
    <t>BRUNEL HEALTH GROUP PCN3</t>
  </si>
  <si>
    <t>BRUNEL HEALTH GROUP PCN4</t>
  </si>
  <si>
    <t>CALNE PCN</t>
  </si>
  <si>
    <t>CHIPPENHAM, CORSHAM &amp; BOX PCN</t>
  </si>
  <si>
    <t>DEVIZES PCN</t>
  </si>
  <si>
    <t>EAST KENNET PCN</t>
  </si>
  <si>
    <t>GREAT WESTERN HEALTH CARE PCN</t>
  </si>
  <si>
    <t>HEART OF BATH PCN</t>
  </si>
  <si>
    <t>KEYNSHAM PCN</t>
  </si>
  <si>
    <t>MINERVA HEALTH GROUP PCN</t>
  </si>
  <si>
    <t>NORTH WILTS BORDER PCN</t>
  </si>
  <si>
    <t>SALISBURY PLAIN PCN</t>
  </si>
  <si>
    <t>SARUM NORTH PCN</t>
  </si>
  <si>
    <t>SARUM WEST PCN</t>
  </si>
  <si>
    <t>THREE VALLEYS HEALTH PCN</t>
  </si>
  <si>
    <t>TROWBRIDGE PCN</t>
  </si>
  <si>
    <t>UNITY MEDICAL GROUP PCN</t>
  </si>
  <si>
    <t>WESTBURY &amp; WARMINSTER PCN</t>
  </si>
  <si>
    <t>WYVERN HEALTH PARTNERSHIP PCN</t>
  </si>
  <si>
    <t>SARUM CATHEDRAL</t>
  </si>
  <si>
    <t>SARUM TRINITY PCN</t>
  </si>
  <si>
    <t>4PCC (BNSSG) PCN</t>
  </si>
  <si>
    <t>AFFINITY (BNSSG) PCN</t>
  </si>
  <si>
    <t>BRIDGE VIEW PCN</t>
  </si>
  <si>
    <t>BRISTOL INNER CITY PCN</t>
  </si>
  <si>
    <t>CONNEXUS PCN</t>
  </si>
  <si>
    <t>FABB (FISHPONDS, AIR BALLOON &amp; BEECHWOOD) PCN</t>
  </si>
  <si>
    <t>FOSS (FIRECLAY &amp; OLD SCHOOL SURGERY) PCN</t>
  </si>
  <si>
    <t>HEALTHWEST PCN</t>
  </si>
  <si>
    <t>NETWORK 4 (BNSSG) PCN</t>
  </si>
  <si>
    <t>NORTHERN ARC PCN</t>
  </si>
  <si>
    <t>PHOENIX (BNSSG) PCN</t>
  </si>
  <si>
    <t>PIER HEALTH PCN</t>
  </si>
  <si>
    <t>SEVERNVALE PCN</t>
  </si>
  <si>
    <t>STOKES PCN</t>
  </si>
  <si>
    <t>SWIFT PCN</t>
  </si>
  <si>
    <t>TYNTESFIELD PCN</t>
  </si>
  <si>
    <t>YATE &amp; FRAMPTON PCN</t>
  </si>
  <si>
    <t>GORDANO VALLEY PCN</t>
  </si>
  <si>
    <t>MENDIP VALE PCN</t>
  </si>
  <si>
    <t>BARNSTAPLE ALLIANCE PCN</t>
  </si>
  <si>
    <t>BAYWIDE PCN</t>
  </si>
  <si>
    <t>BEACON MEDICAL GROUP PCN</t>
  </si>
  <si>
    <t>BRIXHAM AND PAIGNTON PCN</t>
  </si>
  <si>
    <t>CULM VALLEY PCN</t>
  </si>
  <si>
    <t>DRAKE MEDICAL ALLIANCE PCN</t>
  </si>
  <si>
    <t>EXETER CITY PCN</t>
  </si>
  <si>
    <t>EXETER WEST PCN</t>
  </si>
  <si>
    <t>HOLSWORTHY, BUDE &amp; SURROUNDING VILLAGES PCN</t>
  </si>
  <si>
    <t>HONITON/OTTERY/SID VALLEY (HOSMS) PCN</t>
  </si>
  <si>
    <t>MAYFLOWER PCN</t>
  </si>
  <si>
    <t>MEWSTONE PCN</t>
  </si>
  <si>
    <t>MID DEVON HEALTHCARE PCN</t>
  </si>
  <si>
    <t>NEWTON WEST PCN</t>
  </si>
  <si>
    <t>NEXUS (DEVON) PCN</t>
  </si>
  <si>
    <t>NORTH DARTMOOR PCN</t>
  </si>
  <si>
    <t>NORTH DEVON COASTAL PCN</t>
  </si>
  <si>
    <t>OUTER EXETER PCN</t>
  </si>
  <si>
    <t>PATHFIELDS MEDICAL GROUP PCN</t>
  </si>
  <si>
    <t>SOUND PCN</t>
  </si>
  <si>
    <t>SOUTH DARTMOOR AND TOTNES PCN</t>
  </si>
  <si>
    <t>SOUTH HAMS PCN</t>
  </si>
  <si>
    <t>TEMPLER CARE NETWORK PCN</t>
  </si>
  <si>
    <t>THE COASTAL NETWORK PCN</t>
  </si>
  <si>
    <t>TIVERTON PCN</t>
  </si>
  <si>
    <t>TORQUAY PCN</t>
  </si>
  <si>
    <t>TORRIDGE PCN</t>
  </si>
  <si>
    <t>WATERSIDE HEALTH NETWORK PCN</t>
  </si>
  <si>
    <t>WEST DEVON PCN</t>
  </si>
  <si>
    <t>BLANDFORD PCN</t>
  </si>
  <si>
    <t>BOURNEMOUTH EAST COLLABORATIVE PCN</t>
  </si>
  <si>
    <t>CENTRAL BOURNEMOUTH PCN</t>
  </si>
  <si>
    <t>CHRISTCHURCH PCN</t>
  </si>
  <si>
    <t>CRANE VALLEY PCN</t>
  </si>
  <si>
    <t>JURASSIC COAST PCN</t>
  </si>
  <si>
    <t>MID DORSET PCN</t>
  </si>
  <si>
    <t>NORTH BOURNEMOUTH PCN</t>
  </si>
  <si>
    <t>POOLE BAY &amp; BOURNEMOUTH PCN</t>
  </si>
  <si>
    <t>POOLE CENTRAL PCN</t>
  </si>
  <si>
    <t>POOLE NORTH PCN</t>
  </si>
  <si>
    <t>PURBECK PCN</t>
  </si>
  <si>
    <t>SHERBORNE AREA PCN</t>
  </si>
  <si>
    <t>SHORE MEDICAL PCN</t>
  </si>
  <si>
    <t>SOUTH COASTAL MEDICAL GROUP PCN</t>
  </si>
  <si>
    <t>THE VALE PCN</t>
  </si>
  <si>
    <t>WEYMOUTH &amp; PORTLAND PCN</t>
  </si>
  <si>
    <t>WIMBORNE &amp; FERNDOWN PCN</t>
  </si>
  <si>
    <t>ASPEN PCN</t>
  </si>
  <si>
    <t>BERKELEY VALE PCN</t>
  </si>
  <si>
    <t>CHELTENHAM CENTRAL PCN</t>
  </si>
  <si>
    <t>CHELTENHAM PERIPHERAL PCN</t>
  </si>
  <si>
    <t>FOREST OF DEAN PCN</t>
  </si>
  <si>
    <t>GLOUCESTER INNER CITY PCN</t>
  </si>
  <si>
    <t>HADWEN QUEDGELEY PCN</t>
  </si>
  <si>
    <t>NORTH &amp; SOUTH GLOUCESTER (NSG) PCN</t>
  </si>
  <si>
    <t>NORTH COTSWOLDS PCN</t>
  </si>
  <si>
    <t>ROSEBANK PCN</t>
  </si>
  <si>
    <t>SEVERN HEALTH PCN</t>
  </si>
  <si>
    <t>SOUTH COTSWOLDS PCN</t>
  </si>
  <si>
    <t>ST PAUL'S PCN</t>
  </si>
  <si>
    <t>STROUD COTSWOLD PCN</t>
  </si>
  <si>
    <t>TWNS PCN</t>
  </si>
  <si>
    <t>ARBENNEK HEALTH PCN</t>
  </si>
  <si>
    <t>COASTAL (KERNOW) PCN</t>
  </si>
  <si>
    <t>EAST CORNWALL PCN</t>
  </si>
  <si>
    <t>FALMOUTH AND PENRYN PCN</t>
  </si>
  <si>
    <t>ISLES OF SCILLY &amp; SOUTH KERRIER PCN</t>
  </si>
  <si>
    <t>NORTH CORNWALL COAST</t>
  </si>
  <si>
    <t>NORTH KERRIER EAST PCN</t>
  </si>
  <si>
    <t>NORTH KERRIER WEST PCN</t>
  </si>
  <si>
    <t>PENWITH PCN</t>
  </si>
  <si>
    <t>ST AUSTELL HEALTHCARE PCN</t>
  </si>
  <si>
    <t>THREE HARBOURS AND BOSVENA PCN</t>
  </si>
  <si>
    <t>TRURO PCN</t>
  </si>
  <si>
    <t>WATERGATE PCN</t>
  </si>
  <si>
    <t>LAUNCESTON AND TAMAR VALLEY PCN</t>
  </si>
  <si>
    <t>BRIDGWATER PCN</t>
  </si>
  <si>
    <t>CHARD, ILMINSTER &amp; LANGPORT (CLICK) PCN</t>
  </si>
  <si>
    <t>FROME PCN</t>
  </si>
  <si>
    <t>MENDIP PCN</t>
  </si>
  <si>
    <t>NORTH SEDGEMOOR PCN</t>
  </si>
  <si>
    <t>SOUTH SOMERSET EAST - RPN PCN</t>
  </si>
  <si>
    <t>SOUTH SOMERSET WEST PCN</t>
  </si>
  <si>
    <t>TAUNTON CENTRAL PCN</t>
  </si>
  <si>
    <t>TAUNTON DEANE WEST PCN</t>
  </si>
  <si>
    <t>TONE VALLEY PCN</t>
  </si>
  <si>
    <t>WEST MENDIP PCN</t>
  </si>
  <si>
    <t>WEST SOMERSET PCN</t>
  </si>
  <si>
    <t>YEOVIL PCN</t>
  </si>
  <si>
    <t>The Whalebridge Practice - Practice not in a PCN</t>
  </si>
  <si>
    <t>Camelford Medical Centre - Dr Nash - Practice not in a PCN</t>
  </si>
  <si>
    <t>Camelford Medical Centre - Dr Garrod - Practice not in a PCN</t>
  </si>
  <si>
    <t>Cheddar Medical Centre - Practice not in a PCN</t>
  </si>
  <si>
    <t>Brent Area Medical Centre - Practice not in a PCN</t>
  </si>
  <si>
    <t>West Coker Surgery - Practice not in a PCN</t>
  </si>
  <si>
    <t>Advanced Practitioner (Dietician) [3]</t>
  </si>
  <si>
    <t>Advanced Practitioner (Clinical Pharmacist) [3]</t>
  </si>
  <si>
    <t>Advanced Practitioner (First Contact Physiotherapist) [3]</t>
  </si>
  <si>
    <t>Advanced Practitioner (Occupational Therapist) [3]</t>
  </si>
  <si>
    <t>Advanced Practitioner (Paramedic) [3]</t>
  </si>
  <si>
    <t>Advanced Practitioner (Podiatrist) [3]</t>
  </si>
  <si>
    <t>In post 31 March 2021</t>
  </si>
  <si>
    <t>Indicative spend per role</t>
  </si>
  <si>
    <t>Total Spend</t>
  </si>
  <si>
    <t>Year End 2022/23</t>
  </si>
  <si>
    <t>Year End 2023/24</t>
  </si>
  <si>
    <t>21/22
End Quarter 1
April- June</t>
  </si>
  <si>
    <t>21/22
End Quarter 2
Jul-Sept</t>
  </si>
  <si>
    <t>21/22
End Quarter 3
Oct-Dec</t>
  </si>
  <si>
    <t>21/22
End Quarter 4
Jan-Mar</t>
  </si>
  <si>
    <t>Year End 2021/22</t>
  </si>
  <si>
    <t>South West Allocations</t>
  </si>
  <si>
    <t>Baseline ARRS Funding</t>
  </si>
  <si>
    <t>Maximum Additional ARRS Funding</t>
  </si>
  <si>
    <t>Total Max Available ARRS Funding</t>
  </si>
  <si>
    <t>B0764_Update-to-the-GP-contract-agreement-202122-202324-Financial-implications_July2021.pdf (england.nhs.uk)</t>
  </si>
  <si>
    <t>Spend Table</t>
  </si>
  <si>
    <t>WTE Input Table</t>
  </si>
  <si>
    <t>NHS_BSW_CCG</t>
  </si>
  <si>
    <t>NHS_BNSSG_CCG</t>
  </si>
  <si>
    <t>NHS_Devon_CCG</t>
  </si>
  <si>
    <t>NHS_Dorset_CCG</t>
  </si>
  <si>
    <t>NHS_Gloucestershire_CCG</t>
  </si>
  <si>
    <t>NHS_Kernow_CCG</t>
  </si>
  <si>
    <t>NHS_Somerset_CCG</t>
  </si>
  <si>
    <t>South_West</t>
  </si>
  <si>
    <t>PCN Maximum Reimbursable Amount per Financial Year</t>
  </si>
  <si>
    <t>PCN Remaining Reimbursable Amount per Financial Year</t>
  </si>
  <si>
    <t>WTE Cumulative Table</t>
  </si>
  <si>
    <t>Limit on number eligible for reimbursement 2022/23</t>
  </si>
  <si>
    <t>Limit on number eligible for reimbursement 2023/24</t>
  </si>
  <si>
    <t>All named ranges. (Formulas tab, Name Manager) Used for Drop down lists on WTE Modelling Tab. Must be the same data as table on this tab J3:K153</t>
  </si>
  <si>
    <t>**Advanced Practitioner** (Clinical Pharmacist)</t>
  </si>
  <si>
    <t>**Advanced Practitioner** (Dietician)</t>
  </si>
  <si>
    <t>**Advanced Practitioner** (First Contact Physiotherapist)</t>
  </si>
  <si>
    <t>**Advanced Practitioner** (Occupational Therapist)</t>
  </si>
  <si>
    <t>**Advanced Practitioner** (Paramedic)</t>
  </si>
  <si>
    <t>**Advanced Practitioner** (Podiatrist)</t>
  </si>
  <si>
    <t>**</t>
  </si>
  <si>
    <t>** Total AHPs per PCN</t>
  </si>
  <si>
    <t>This table is not cumulative and does not take into account roles in previous years, please enter those roles you have already recruited to as of 31 March 2021, and those you wish to recruit to going forward</t>
  </si>
  <si>
    <t>Please do not enter any values in this table. This table calculates the WTE for each year taking into account WTE for previous years</t>
  </si>
  <si>
    <t>Please do not enter any values in this table. This table calculates the total spend for each year</t>
  </si>
  <si>
    <t>PCN Spend Summary
(from spend table below)</t>
  </si>
  <si>
    <t>Mental Health Practitioner (50% reimbursement) Band 5</t>
  </si>
  <si>
    <t>Mental Health Practitioner (50% reimbursement) Band 6</t>
  </si>
  <si>
    <t>Mental Health Practitioner (50% reimbursement) Band 7</t>
  </si>
  <si>
    <t>Mental Health Practitioner (50% reimbursement) Band 8a</t>
  </si>
  <si>
    <t>Children and Young Persons Mental Health Practitioner (50% Reimbursement) Band 5</t>
  </si>
  <si>
    <t>Children and Young Persons Mental Health Practitioner (50% Reimbursement) Band 6</t>
  </si>
  <si>
    <t>Children and Young Persons Mental Health Practitioner (50% Reimbursement) Band 7</t>
  </si>
  <si>
    <t>Children and Young Persons Mental Health Practitioner (50% Reimbursement) Band 8a</t>
  </si>
  <si>
    <t>Inidicative Spend Table assumes employment commences on the 1st day of the quarter or at the beginning of the year for years 22/23 &amp; 23/24</t>
  </si>
  <si>
    <t>Total  AHPs</t>
  </si>
  <si>
    <t>Green cells are data entry fields. Yellow cells for guidance</t>
  </si>
  <si>
    <t>2. Select PCN from Drop Down</t>
  </si>
  <si>
    <t>1. Select CCG from Drop Down</t>
  </si>
  <si>
    <t>Total MHPs per PCN</t>
  </si>
  <si>
    <t>Total CYP MHPs per PCN</t>
  </si>
  <si>
    <t>Minimum requirement</t>
  </si>
  <si>
    <t>Network Contract Directed Enhanced Service</t>
  </si>
  <si>
    <t>Guidance for 2021/22 in England</t>
  </si>
  <si>
    <t>NHS England Report Template 7 - no photo on cover</t>
  </si>
  <si>
    <t>Contract specification 2021/22 - PCN Requirements and Entitlements</t>
  </si>
  <si>
    <t>v6</t>
  </si>
  <si>
    <t>1st iteration by Clare Royle</t>
  </si>
  <si>
    <t>v7</t>
  </si>
  <si>
    <t>Correct PCN Configurations for:</t>
  </si>
  <si>
    <t>To:</t>
  </si>
  <si>
    <t>From:</t>
  </si>
  <si>
    <t>BSW CCG</t>
  </si>
  <si>
    <t>Dorset CCG</t>
  </si>
  <si>
    <t>Kernow CCG</t>
  </si>
  <si>
    <t>Somerset CCG</t>
  </si>
  <si>
    <t>Due to PCN movements</t>
  </si>
  <si>
    <t>Reason</t>
  </si>
  <si>
    <t>Add ARRS uplifted values for Oct21-Mar22 period</t>
  </si>
  <si>
    <t>and change base value for subsequent years</t>
  </si>
  <si>
    <t>Removal of list size due to closure of L85612 Victoria Park Medical Centre</t>
  </si>
  <si>
    <t>2021/22 from Oct21</t>
  </si>
  <si>
    <t>2021/22 April-Sep21</t>
  </si>
  <si>
    <r>
      <rPr>
        <b/>
        <u/>
        <sz val="11"/>
        <color theme="1"/>
        <rFont val="Calibri"/>
        <family val="2"/>
        <scheme val="minor"/>
      </rPr>
      <t>Annua</t>
    </r>
    <r>
      <rPr>
        <sz val="11"/>
        <color theme="1"/>
        <rFont val="Calibri"/>
        <family val="2"/>
        <scheme val="minor"/>
      </rPr>
      <t>l Maximum Reimbursement amount per role [1]</t>
    </r>
  </si>
  <si>
    <t>https://future.nhs.uk/connect.ti/P_C_N/view?objectId=853427</t>
  </si>
  <si>
    <t>Updated ARRS maximum reimbursement rates – from October 2021: https://future.nhs.uk/connect.ti/P_C_N/view?objectId=853427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</si>
</sst>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_-&quot;£&quot;* #,##0_-;\-&quot;£&quot;* #,##0_-;_-&quot;£&quot;* &quot;-&quot;??_-;_-@_-"/>
    <numFmt numFmtId="169" formatCode="&quot;£&quot;#,##0.000"/>
  </numFmts>
  <fonts count="2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b/>
      <sz val="11"/>
      <color rgb="FFFF0000"/>
      <name val="Calibri"/>
      <family val="2"/>
      <scheme val="minor"/>
    </font>
    <font>
      <sz val="8"/>
      <name val="Calibri"/>
      <family val="2"/>
      <scheme val="minor"/>
    </font>
    <font>
      <sz val="8"/>
      <color theme="1"/>
      <name val="Calibri"/>
      <family val="2"/>
      <scheme val="minor"/>
    </font>
    <font>
      <sz val="11"/>
      <name val="Calibri"/>
      <family val="2"/>
      <scheme val="minor"/>
    </font>
    <font>
      <sz val="11"/>
      <color rgb="FFFF0000"/>
      <name val="Calibri"/>
      <family val="2"/>
      <scheme val="minor"/>
    </font>
    <font>
      <b/>
      <sz val="11"/>
      <color rgb="FF3F3F3F"/>
      <name val="Calibri"/>
      <family val="2"/>
    </font>
    <font>
      <sz val="11"/>
      <color theme="0" tint="-0.499984740745262"/>
      <name val="Calibri"/>
      <family val="2"/>
      <scheme val="minor"/>
    </font>
    <font>
      <i/>
      <sz val="8"/>
      <color rgb="FF3F3F3F"/>
      <name val="Calibri"/>
      <family val="2"/>
    </font>
    <font>
      <sz val="11"/>
      <color rgb="FF000000"/>
      <name val="Calibri"/>
      <family val="2"/>
      <scheme val="minor"/>
    </font>
    <font>
      <b/>
      <sz val="9"/>
      <color indexed="81"/>
      <name val="Tahoma"/>
      <family val="2"/>
    </font>
    <font>
      <sz val="9"/>
      <color indexed="81"/>
      <name val="Tahoma"/>
      <family val="2"/>
    </font>
    <font>
      <b/>
      <sz val="11"/>
      <color theme="0" tint="-0.499984740745262"/>
      <name val="Calibri"/>
      <family val="2"/>
      <scheme val="minor"/>
    </font>
    <font>
      <b/>
      <sz val="11"/>
      <color theme="0" tint="-0.499984740745262"/>
      <name val="Calibri"/>
      <family val="2"/>
    </font>
    <font>
      <b/>
      <i/>
      <sz val="11"/>
      <color rgb="FFFF0000"/>
      <name val="Calibri"/>
      <family val="2"/>
      <scheme val="minor"/>
    </font>
    <font>
      <b/>
      <sz val="11"/>
      <color rgb="FF3F3F3F"/>
      <name val="Calibri"/>
      <family val="2"/>
      <scheme val="minor"/>
    </font>
    <font>
      <i/>
      <sz val="11"/>
      <color theme="1"/>
      <name val="Calibri"/>
      <family val="2"/>
      <scheme val="minor"/>
    </font>
    <font>
      <b/>
      <i/>
      <sz val="11"/>
      <color rgb="FF3F3F3F"/>
      <name val="Calibri"/>
      <family val="2"/>
    </font>
    <font>
      <sz val="11"/>
      <name val="Calibri"/>
      <family val="2"/>
    </font>
    <font>
      <b/>
      <u/>
      <sz val="11"/>
      <color theme="1"/>
      <name val="Calibri"/>
      <family val="2"/>
      <scheme val="minor"/>
    </font>
    <font>
      <i/>
      <sz val="11"/>
      <color rgb="FF333333"/>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style="thin">
        <color indexed="64"/>
      </top>
      <bottom style="thin">
        <color indexed="64"/>
      </bottom>
      <diagonal/>
    </border>
    <border>
      <left style="thin">
        <color rgb="FF3F3F3F"/>
      </left>
      <right style="thin">
        <color rgb="FF3F3F3F"/>
      </right>
      <top style="thin">
        <color rgb="FF3F3F3F"/>
      </top>
      <bottom style="thin">
        <color indexed="64"/>
      </bottom>
      <diagonal/>
    </border>
    <border>
      <left style="thin">
        <color indexed="64"/>
      </left>
      <right/>
      <top style="thin">
        <color indexed="64"/>
      </top>
      <bottom/>
      <diagonal/>
    </border>
    <border>
      <left style="thin">
        <color indexed="64"/>
      </left>
      <right style="thin">
        <color rgb="FF3F3F3F"/>
      </right>
      <top style="thin">
        <color rgb="FF3F3F3F"/>
      </top>
      <bottom style="thin">
        <color rgb="FF3F3F3F"/>
      </bottom>
      <diagonal/>
    </border>
    <border>
      <left style="thin">
        <color rgb="FF3F3F3F"/>
      </left>
      <right style="thin">
        <color indexed="64"/>
      </right>
      <top style="thin">
        <color rgb="FF3F3F3F"/>
      </top>
      <bottom style="thin">
        <color rgb="FF3F3F3F"/>
      </bottom>
      <diagonal/>
    </border>
    <border>
      <left style="thin">
        <color rgb="FF3F3F3F"/>
      </left>
      <right style="thin">
        <color indexed="64"/>
      </right>
      <top style="thin">
        <color rgb="FF3F3F3F"/>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bottom style="thin">
        <color indexed="64"/>
      </bottom>
      <diagonal/>
    </border>
    <border>
      <left style="thin">
        <color rgb="FF3F3F3F"/>
      </left>
      <right/>
      <top/>
      <bottom style="thin">
        <color indexed="64"/>
      </bottom>
      <diagonal/>
    </border>
    <border>
      <left style="medium">
        <color indexed="64"/>
      </left>
      <right style="thin">
        <color indexed="64"/>
      </right>
      <top style="thin">
        <color indexed="64"/>
      </top>
      <bottom/>
      <diagonal/>
    </border>
    <border>
      <left style="thin">
        <color indexed="64"/>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indexed="64"/>
      </right>
      <top style="thin">
        <color rgb="FF3F3F3F"/>
      </top>
      <bottom/>
      <diagonal/>
    </border>
    <border>
      <left style="thin">
        <color indexed="64"/>
      </left>
      <right style="thin">
        <color rgb="FF3F3F3F"/>
      </right>
      <top/>
      <bottom/>
      <diagonal/>
    </border>
    <border>
      <left style="thin">
        <color indexed="64"/>
      </left>
      <right style="thin">
        <color rgb="FF3F3F3F"/>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indexed="64"/>
      </right>
      <top/>
      <bottom/>
      <diagonal/>
    </border>
    <border>
      <left style="thin">
        <color rgb="FF3F3F3F"/>
      </left>
      <right style="thin">
        <color indexed="64"/>
      </right>
      <top/>
      <bottom style="thin">
        <color rgb="FF3F3F3F"/>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rgb="FF3F3F3F"/>
      </right>
      <top style="mediumDashed">
        <color indexed="64"/>
      </top>
      <bottom/>
      <diagonal/>
    </border>
    <border>
      <left style="thin">
        <color rgb="FF3F3F3F"/>
      </left>
      <right style="thin">
        <color rgb="FF3F3F3F"/>
      </right>
      <top style="mediumDashed">
        <color indexed="64"/>
      </top>
      <bottom/>
      <diagonal/>
    </border>
    <border>
      <left style="thin">
        <color rgb="FF3F3F3F"/>
      </left>
      <right style="thin">
        <color indexed="64"/>
      </right>
      <top style="mediumDashed">
        <color indexed="64"/>
      </top>
      <bottom/>
      <diagonal/>
    </border>
    <border>
      <left style="thin">
        <color indexed="64"/>
      </left>
      <right style="thin">
        <color rgb="FF3F3F3F"/>
      </right>
      <top/>
      <bottom style="mediumDashed">
        <color indexed="64"/>
      </bottom>
      <diagonal/>
    </border>
    <border>
      <left style="thin">
        <color rgb="FF3F3F3F"/>
      </left>
      <right style="thin">
        <color rgb="FF3F3F3F"/>
      </right>
      <top/>
      <bottom style="mediumDashed">
        <color indexed="64"/>
      </bottom>
      <diagonal/>
    </border>
    <border>
      <left style="thin">
        <color rgb="FF3F3F3F"/>
      </left>
      <right style="thin">
        <color indexed="64"/>
      </right>
      <top/>
      <bottom style="mediumDashed">
        <color indexed="64"/>
      </bottom>
      <diagonal/>
    </border>
    <border>
      <left style="thin">
        <color indexed="64"/>
      </left>
      <right/>
      <top style="medium">
        <color indexed="64"/>
      </top>
      <bottom style="thin">
        <color indexed="64"/>
      </bottom>
      <diagonal/>
    </border>
    <border>
      <left style="thin">
        <color rgb="FF3F3F3F"/>
      </left>
      <right style="thin">
        <color rgb="FF3F3F3F"/>
      </right>
      <top style="medium">
        <color indexed="64"/>
      </top>
      <bottom style="thin">
        <color indexed="64"/>
      </bottom>
      <diagonal/>
    </border>
    <border>
      <left style="thin">
        <color rgb="FF3F3F3F"/>
      </left>
      <right/>
      <top style="thin">
        <color rgb="FF3F3F3F"/>
      </top>
      <bottom/>
      <diagonal/>
    </border>
    <border>
      <left style="medium">
        <color indexed="64"/>
      </left>
      <right style="thin">
        <color rgb="FF3F3F3F"/>
      </right>
      <top style="thin">
        <color rgb="FF3F3F3F"/>
      </top>
      <bottom/>
      <diagonal/>
    </border>
    <border>
      <left style="thin">
        <color rgb="FF3F3F3F"/>
      </left>
      <right/>
      <top style="medium">
        <color indexed="64"/>
      </top>
      <bottom style="thin">
        <color indexed="64"/>
      </bottom>
      <diagonal/>
    </border>
    <border>
      <left style="medium">
        <color indexed="64"/>
      </left>
      <right style="thin">
        <color rgb="FF3F3F3F"/>
      </right>
      <top style="medium">
        <color indexed="64"/>
      </top>
      <bottom style="thin">
        <color indexed="64"/>
      </bottom>
      <diagonal/>
    </border>
    <border>
      <left style="thin">
        <color rgb="FF3F3F3F"/>
      </left>
      <right/>
      <top/>
      <bottom/>
      <diagonal/>
    </border>
    <border>
      <left style="thin">
        <color indexed="64"/>
      </left>
      <right style="thin">
        <color rgb="FF3F3F3F"/>
      </right>
      <top style="mediumDashed">
        <color indexed="64"/>
      </top>
      <bottom style="thin">
        <color rgb="FF3F3F3F"/>
      </bottom>
      <diagonal/>
    </border>
    <border>
      <left style="thin">
        <color rgb="FF3F3F3F"/>
      </left>
      <right style="thin">
        <color rgb="FF3F3F3F"/>
      </right>
      <top style="mediumDashed">
        <color indexed="64"/>
      </top>
      <bottom style="thin">
        <color rgb="FF3F3F3F"/>
      </bottom>
      <diagonal/>
    </border>
    <border>
      <left style="thin">
        <color rgb="FF3F3F3F"/>
      </left>
      <right style="thin">
        <color indexed="64"/>
      </right>
      <top style="mediumDashed">
        <color indexed="64"/>
      </top>
      <bottom style="thin">
        <color rgb="FF3F3F3F"/>
      </bottom>
      <diagonal/>
    </border>
    <border>
      <left style="thin">
        <color indexed="64"/>
      </left>
      <right style="thin">
        <color rgb="FF3F3F3F"/>
      </right>
      <top style="thin">
        <color rgb="FF3F3F3F"/>
      </top>
      <bottom style="mediumDashed">
        <color indexed="64"/>
      </bottom>
      <diagonal/>
    </border>
    <border>
      <left style="thin">
        <color rgb="FF3F3F3F"/>
      </left>
      <right style="thin">
        <color rgb="FF3F3F3F"/>
      </right>
      <top style="thin">
        <color rgb="FF3F3F3F"/>
      </top>
      <bottom style="mediumDashed">
        <color indexed="64"/>
      </bottom>
      <diagonal/>
    </border>
    <border>
      <left style="thin">
        <color rgb="FF3F3F3F"/>
      </left>
      <right style="thin">
        <color indexed="64"/>
      </right>
      <top style="thin">
        <color rgb="FF3F3F3F"/>
      </top>
      <bottom style="mediumDashed">
        <color indexed="64"/>
      </bottom>
      <diagonal/>
    </border>
    <border>
      <left style="medium">
        <color indexed="64"/>
      </left>
      <right style="thin">
        <color rgb="FF3F3F3F"/>
      </right>
      <top/>
      <bottom style="thin">
        <color rgb="FF3F3F3F"/>
      </bottom>
      <diagonal/>
    </border>
    <border>
      <left style="thin">
        <color rgb="FF3F3F3F"/>
      </left>
      <right/>
      <top style="mediumDashed">
        <color indexed="64"/>
      </top>
      <bottom style="thin">
        <color rgb="FF3F3F3F"/>
      </bottom>
      <diagonal/>
    </border>
    <border>
      <left style="medium">
        <color indexed="64"/>
      </left>
      <right style="thin">
        <color rgb="FF3F3F3F"/>
      </right>
      <top style="mediumDashed">
        <color indexed="64"/>
      </top>
      <bottom style="thin">
        <color rgb="FF3F3F3F"/>
      </bottom>
      <diagonal/>
    </border>
    <border>
      <left style="medium">
        <color indexed="64"/>
      </left>
      <right style="thin">
        <color rgb="FF3F3F3F"/>
      </right>
      <top style="thin">
        <color rgb="FF3F3F3F"/>
      </top>
      <bottom style="mediumDashed">
        <color indexed="64"/>
      </bottom>
      <diagonal/>
    </border>
    <border>
      <left style="thin">
        <color indexed="64"/>
      </left>
      <right style="thin">
        <color rgb="FF3F3F3F"/>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indexed="64"/>
      </left>
      <right/>
      <top style="mediumDashed">
        <color indexed="64"/>
      </top>
      <bottom style="thin">
        <color indexed="64"/>
      </bottom>
      <diagonal/>
    </border>
    <border>
      <left style="thin">
        <color indexed="64"/>
      </left>
      <right/>
      <top style="thin">
        <color indexed="64"/>
      </top>
      <bottom style="mediumDashed">
        <color indexed="64"/>
      </bottom>
      <diagonal/>
    </border>
    <border>
      <left style="medium">
        <color indexed="64"/>
      </left>
      <right style="thin">
        <color indexed="64"/>
      </right>
      <top style="mediumDashed">
        <color indexed="64"/>
      </top>
      <bottom style="thin">
        <color indexed="64"/>
      </bottom>
      <diagonal/>
    </border>
    <border>
      <left style="medium">
        <color indexed="64"/>
      </left>
      <right style="thin">
        <color indexed="64"/>
      </right>
      <top style="thin">
        <color indexed="64"/>
      </top>
      <bottom style="mediumDashed">
        <color indexed="64"/>
      </bottom>
      <diagonal/>
    </border>
    <border>
      <left style="medium">
        <color indexed="64"/>
      </left>
      <right style="thin">
        <color indexed="64"/>
      </right>
      <top/>
      <bottom style="thin">
        <color indexed="64"/>
      </bottom>
      <diagonal/>
    </border>
    <border>
      <left style="thin">
        <color rgb="FF3F3F3F"/>
      </left>
      <right/>
      <top style="thin">
        <color rgb="FF3F3F3F"/>
      </top>
      <bottom style="mediumDashed">
        <color indexed="64"/>
      </bottom>
      <diagonal/>
    </border>
    <border>
      <left style="thin">
        <color rgb="FF3F3F3F"/>
      </left>
      <right/>
      <top/>
      <bottom style="thin">
        <color rgb="FF3F3F3F"/>
      </bottom>
      <diagonal/>
    </border>
    <border>
      <left style="thin">
        <color rgb="FF3F3F3F"/>
      </left>
      <right style="thin">
        <color rgb="FF3F3F3F"/>
      </right>
      <top style="mediumDashed">
        <color theme="1"/>
      </top>
      <bottom style="thin">
        <color rgb="FF3F3F3F"/>
      </bottom>
      <diagonal/>
    </border>
    <border>
      <left style="thin">
        <color rgb="FF3F3F3F"/>
      </left>
      <right style="medium">
        <color indexed="64"/>
      </right>
      <top style="mediumDashed">
        <color theme="1"/>
      </top>
      <bottom style="thin">
        <color rgb="FF3F3F3F"/>
      </bottom>
      <diagonal/>
    </border>
    <border>
      <left style="thin">
        <color rgb="FF3F3F3F"/>
      </left>
      <right style="medium">
        <color indexed="64"/>
      </right>
      <top style="thin">
        <color rgb="FF3F3F3F"/>
      </top>
      <bottom style="thin">
        <color rgb="FF3F3F3F"/>
      </bottom>
      <diagonal/>
    </border>
    <border>
      <left style="thin">
        <color rgb="FF3F3F3F"/>
      </left>
      <right style="medium">
        <color indexed="64"/>
      </right>
      <top style="thin">
        <color rgb="FF3F3F3F"/>
      </top>
      <bottom style="mediumDashed">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0" fillId="5" borderId="20" applyNumberFormat="0" applyAlignment="0" applyProtection="0"/>
  </cellStyleXfs>
  <cellXfs count="305">
    <xf numFmtId="0" fontId="0" fillId="0" borderId="0" xfId="0"/>
    <xf numFmtId="164" fontId="0" fillId="0" borderId="0" xfId="0" applyNumberFormat="1"/>
    <xf numFmtId="0" fontId="0" fillId="0" borderId="1" xfId="0" applyBorder="1"/>
    <xf numFmtId="3" fontId="0" fillId="0" borderId="1" xfId="0" applyNumberFormat="1" applyBorder="1" applyAlignment="1">
      <alignment horizontal="center"/>
    </xf>
    <xf numFmtId="0" fontId="2" fillId="2" borderId="1" xfId="0" applyFont="1" applyFill="1" applyBorder="1" applyAlignment="1">
      <alignment horizontal="center"/>
    </xf>
    <xf numFmtId="0" fontId="0" fillId="0" borderId="0" xfId="0" applyNumberFormat="1"/>
    <xf numFmtId="164" fontId="0" fillId="0" borderId="1" xfId="0" applyNumberFormat="1" applyBorder="1" applyAlignment="1">
      <alignment horizontal="center"/>
    </xf>
    <xf numFmtId="0" fontId="3" fillId="0" borderId="0" xfId="2"/>
    <xf numFmtId="0" fontId="2" fillId="2" borderId="4" xfId="0" applyFont="1" applyFill="1" applyBorder="1" applyAlignment="1">
      <alignment horizontal="center" vertical="top"/>
    </xf>
    <xf numFmtId="165" fontId="0" fillId="0" borderId="0" xfId="0" applyNumberFormat="1"/>
    <xf numFmtId="9" fontId="0" fillId="0" borderId="0" xfId="1" applyFont="1"/>
    <xf numFmtId="0" fontId="0" fillId="0" borderId="9" xfId="0" applyBorder="1"/>
    <xf numFmtId="0" fontId="0" fillId="0" borderId="6" xfId="0" applyFill="1" applyBorder="1"/>
    <xf numFmtId="0" fontId="2" fillId="2" borderId="1" xfId="0" applyFont="1" applyFill="1" applyBorder="1" applyAlignment="1">
      <alignment horizontal="right"/>
    </xf>
    <xf numFmtId="0" fontId="2" fillId="2" borderId="1" xfId="0" applyFont="1" applyFill="1" applyBorder="1" applyAlignment="1">
      <alignment horizontal="center"/>
    </xf>
    <xf numFmtId="0" fontId="0" fillId="0" borderId="0" xfId="0" applyAlignment="1">
      <alignment wrapText="1"/>
    </xf>
    <xf numFmtId="0" fontId="0" fillId="0" borderId="9" xfId="0" applyFill="1" applyBorder="1"/>
    <xf numFmtId="166" fontId="2" fillId="2" borderId="1" xfId="0" applyNumberFormat="1" applyFont="1" applyFill="1" applyBorder="1" applyAlignment="1">
      <alignment horizontal="center" vertical="center"/>
    </xf>
    <xf numFmtId="166" fontId="0" fillId="0" borderId="0" xfId="0" applyNumberFormat="1"/>
    <xf numFmtId="0" fontId="0" fillId="0" borderId="1" xfId="0" applyBorder="1" applyAlignment="1">
      <alignment horizontal="center" vertical="center"/>
    </xf>
    <xf numFmtId="167" fontId="0" fillId="0" borderId="0" xfId="3" applyNumberFormat="1" applyFont="1" applyFill="1" applyAlignment="1">
      <alignment horizontal="right"/>
    </xf>
    <xf numFmtId="0" fontId="0" fillId="0" borderId="9" xfId="0" applyFont="1" applyFill="1" applyBorder="1"/>
    <xf numFmtId="0" fontId="0" fillId="0" borderId="0" xfId="0" applyFill="1"/>
    <xf numFmtId="0" fontId="0" fillId="0" borderId="9" xfId="0" applyBorder="1" applyAlignment="1">
      <alignment horizontal="center" vertical="center"/>
    </xf>
    <xf numFmtId="0" fontId="0" fillId="0" borderId="4" xfId="0" applyBorder="1"/>
    <xf numFmtId="0" fontId="0" fillId="0" borderId="4" xfId="0" applyBorder="1" applyAlignment="1">
      <alignment horizontal="center" vertical="center"/>
    </xf>
    <xf numFmtId="0" fontId="0" fillId="0" borderId="13" xfId="0" applyBorder="1"/>
    <xf numFmtId="0" fontId="0" fillId="0" borderId="14" xfId="0" applyBorder="1"/>
    <xf numFmtId="0" fontId="0" fillId="0" borderId="0" xfId="0" applyFill="1" applyBorder="1" applyAlignment="1"/>
    <xf numFmtId="0" fontId="9" fillId="0" borderId="0" xfId="0" applyFont="1" applyAlignment="1">
      <alignment horizontal="left" vertical="top" wrapText="1"/>
    </xf>
    <xf numFmtId="0" fontId="9" fillId="0" borderId="0" xfId="0" applyFont="1" applyAlignment="1">
      <alignment vertical="top" wrapText="1"/>
    </xf>
    <xf numFmtId="0" fontId="0" fillId="0" borderId="0" xfId="0" applyFont="1"/>
    <xf numFmtId="0" fontId="9" fillId="0" borderId="0" xfId="0" applyFont="1" applyAlignment="1">
      <alignment horizontal="left" vertical="top" wrapText="1"/>
    </xf>
    <xf numFmtId="0" fontId="2" fillId="2" borderId="1" xfId="0" applyFont="1" applyFill="1" applyBorder="1" applyAlignment="1">
      <alignment horizontal="center" vertical="center" wrapText="1"/>
    </xf>
    <xf numFmtId="168" fontId="0" fillId="0" borderId="9" xfId="0" applyNumberFormat="1" applyFill="1" applyBorder="1"/>
    <xf numFmtId="168" fontId="0" fillId="0" borderId="4" xfId="0" applyNumberFormat="1" applyFill="1" applyBorder="1"/>
    <xf numFmtId="0" fontId="11" fillId="4" borderId="1" xfId="0" applyFont="1" applyFill="1" applyBorder="1" applyAlignment="1">
      <alignment horizontal="center" vertical="center"/>
    </xf>
    <xf numFmtId="168" fontId="11" fillId="4" borderId="9" xfId="0" applyNumberFormat="1" applyFont="1" applyFill="1" applyBorder="1"/>
    <xf numFmtId="168" fontId="11" fillId="4" borderId="4" xfId="0" applyNumberFormat="1" applyFont="1" applyFill="1" applyBorder="1"/>
    <xf numFmtId="44" fontId="0" fillId="0" borderId="0" xfId="0" applyNumberFormat="1"/>
    <xf numFmtId="168" fontId="10" fillId="5" borderId="20" xfId="4" applyNumberFormat="1"/>
    <xf numFmtId="0" fontId="1" fillId="0" borderId="0" xfId="0" applyFont="1"/>
    <xf numFmtId="0" fontId="8" fillId="0" borderId="0" xfId="2" applyFont="1" applyAlignment="1" applyProtection="1">
      <alignment vertical="center"/>
    </xf>
    <xf numFmtId="0" fontId="1"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166" fontId="16" fillId="6" borderId="1" xfId="0" applyNumberFormat="1" applyFont="1" applyFill="1" applyBorder="1" applyAlignment="1">
      <alignment horizontal="center" vertical="top"/>
    </xf>
    <xf numFmtId="166" fontId="16" fillId="6" borderId="3" xfId="0" applyNumberFormat="1" applyFont="1" applyFill="1" applyBorder="1" applyAlignment="1">
      <alignment horizontal="center" vertical="center"/>
    </xf>
    <xf numFmtId="0" fontId="16" fillId="6" borderId="4" xfId="0" applyFont="1" applyFill="1" applyBorder="1" applyAlignment="1">
      <alignment horizontal="center" vertical="top"/>
    </xf>
    <xf numFmtId="0" fontId="16" fillId="6" borderId="3" xfId="0" applyFont="1" applyFill="1" applyBorder="1" applyAlignment="1">
      <alignment horizontal="center"/>
    </xf>
    <xf numFmtId="164" fontId="11" fillId="6" borderId="1" xfId="0" applyNumberFormat="1" applyFont="1" applyFill="1" applyBorder="1" applyAlignment="1">
      <alignment horizontal="center"/>
    </xf>
    <xf numFmtId="0" fontId="0" fillId="0" borderId="0" xfId="0" applyBorder="1"/>
    <xf numFmtId="0" fontId="0" fillId="0" borderId="11" xfId="0" applyFont="1" applyFill="1" applyBorder="1"/>
    <xf numFmtId="0" fontId="0" fillId="0" borderId="11" xfId="0" applyFill="1" applyBorder="1"/>
    <xf numFmtId="0" fontId="8" fillId="0" borderId="9" xfId="0" applyFont="1" applyFill="1" applyBorder="1"/>
    <xf numFmtId="167" fontId="0" fillId="0" borderId="0" xfId="3" applyNumberFormat="1" applyFont="1" applyFill="1" applyAlignment="1">
      <alignment horizontal="right" vertical="center"/>
    </xf>
    <xf numFmtId="0" fontId="0" fillId="0" borderId="0" xfId="0" applyFill="1" applyAlignment="1">
      <alignment horizontal="right"/>
    </xf>
    <xf numFmtId="0" fontId="0" fillId="0" borderId="7" xfId="0" applyNumberFormat="1" applyBorder="1"/>
    <xf numFmtId="3" fontId="0" fillId="0" borderId="8" xfId="0" applyNumberFormat="1" applyFill="1" applyBorder="1" applyAlignment="1">
      <alignment horizontal="right"/>
    </xf>
    <xf numFmtId="0" fontId="0" fillId="0" borderId="19" xfId="0" applyBorder="1"/>
    <xf numFmtId="3" fontId="0" fillId="0" borderId="11" xfId="0" applyNumberFormat="1" applyFill="1" applyBorder="1" applyAlignment="1">
      <alignment horizontal="right"/>
    </xf>
    <xf numFmtId="0" fontId="0" fillId="0" borderId="8" xfId="0" applyFill="1" applyBorder="1"/>
    <xf numFmtId="167" fontId="0" fillId="0" borderId="12" xfId="3" applyNumberFormat="1" applyFont="1" applyFill="1" applyBorder="1" applyAlignment="1">
      <alignment horizontal="right"/>
    </xf>
    <xf numFmtId="0" fontId="0" fillId="0" borderId="19" xfId="0" applyFill="1" applyBorder="1"/>
    <xf numFmtId="0" fontId="0" fillId="7" borderId="18" xfId="0" applyFill="1" applyBorder="1"/>
    <xf numFmtId="0" fontId="0" fillId="0" borderId="0" xfId="0" applyFont="1" applyFill="1" applyBorder="1"/>
    <xf numFmtId="0" fontId="0" fillId="0" borderId="0" xfId="0" applyFont="1" applyBorder="1"/>
    <xf numFmtId="0" fontId="8" fillId="0" borderId="0" xfId="0" applyFont="1" applyFill="1" applyBorder="1"/>
    <xf numFmtId="166" fontId="16" fillId="2" borderId="1" xfId="0" applyNumberFormat="1" applyFont="1" applyFill="1" applyBorder="1" applyAlignment="1">
      <alignment horizontal="right" vertical="top"/>
    </xf>
    <xf numFmtId="166" fontId="16" fillId="2" borderId="3" xfId="0" applyNumberFormat="1" applyFont="1" applyFill="1" applyBorder="1" applyAlignment="1">
      <alignment horizontal="right" vertical="center"/>
    </xf>
    <xf numFmtId="166" fontId="2" fillId="2" borderId="1" xfId="0" applyNumberFormat="1" applyFont="1" applyFill="1" applyBorder="1" applyAlignment="1">
      <alignment horizontal="right" vertical="center"/>
    </xf>
    <xf numFmtId="0" fontId="16" fillId="2" borderId="4" xfId="0" applyFont="1" applyFill="1" applyBorder="1" applyAlignment="1">
      <alignment horizontal="right" vertical="top"/>
    </xf>
    <xf numFmtId="0" fontId="16" fillId="2" borderId="3" xfId="0" applyFont="1" applyFill="1" applyBorder="1" applyAlignment="1">
      <alignment horizontal="right"/>
    </xf>
    <xf numFmtId="169" fontId="17" fillId="5" borderId="20" xfId="4" applyNumberFormat="1" applyFont="1" applyAlignment="1">
      <alignment horizontal="right"/>
    </xf>
    <xf numFmtId="169" fontId="10" fillId="5" borderId="20" xfId="4" applyNumberFormat="1" applyAlignment="1">
      <alignment horizontal="right"/>
    </xf>
    <xf numFmtId="168" fontId="10" fillId="5" borderId="23" xfId="4" applyNumberFormat="1" applyBorder="1"/>
    <xf numFmtId="168" fontId="11" fillId="4" borderId="1" xfId="0" applyNumberFormat="1" applyFont="1" applyFill="1" applyBorder="1"/>
    <xf numFmtId="168" fontId="0" fillId="0" borderId="1" xfId="0" applyNumberFormat="1" applyFill="1" applyBorder="1"/>
    <xf numFmtId="168" fontId="10" fillId="5" borderId="24" xfId="4" applyNumberFormat="1" applyBorder="1"/>
    <xf numFmtId="168" fontId="10" fillId="5" borderId="25" xfId="4" applyNumberFormat="1" applyBorder="1"/>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center" vertical="center"/>
    </xf>
    <xf numFmtId="0" fontId="2" fillId="2" borderId="1" xfId="0" applyFont="1" applyFill="1" applyBorder="1" applyAlignment="1">
      <alignment horizontal="right" vertical="center"/>
    </xf>
    <xf numFmtId="0" fontId="0" fillId="0" borderId="0" xfId="0" applyFont="1" applyAlignment="1">
      <alignment vertical="center"/>
    </xf>
    <xf numFmtId="0" fontId="0" fillId="0" borderId="1" xfId="0" applyFont="1" applyBorder="1" applyAlignment="1">
      <alignment horizontal="right"/>
    </xf>
    <xf numFmtId="165" fontId="0" fillId="0" borderId="1" xfId="0" applyNumberFormat="1" applyFont="1" applyBorder="1" applyAlignment="1">
      <alignment horizontal="right" vertical="center"/>
    </xf>
    <xf numFmtId="0" fontId="0" fillId="0" borderId="0" xfId="0" applyFont="1" applyBorder="1" applyAlignment="1">
      <alignment horizontal="right"/>
    </xf>
    <xf numFmtId="165" fontId="0" fillId="0" borderId="0" xfId="0" applyNumberFormat="1"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left" vertical="top" wrapText="1"/>
    </xf>
    <xf numFmtId="0" fontId="18" fillId="0" borderId="0" xfId="0" applyFont="1" applyAlignment="1">
      <alignment wrapText="1"/>
    </xf>
    <xf numFmtId="0" fontId="5" fillId="0" borderId="0" xfId="0" applyFont="1" applyAlignment="1">
      <alignment horizontal="center" vertical="top" wrapText="1"/>
    </xf>
    <xf numFmtId="0" fontId="0" fillId="0" borderId="0" xfId="0" applyFont="1" applyAlignment="1">
      <alignment horizontal="center"/>
    </xf>
    <xf numFmtId="0" fontId="4" fillId="3" borderId="26" xfId="0" applyFont="1" applyFill="1" applyBorder="1" applyAlignment="1">
      <alignment horizontal="center" vertical="center"/>
    </xf>
    <xf numFmtId="0" fontId="19" fillId="5" borderId="27" xfId="4" applyFont="1" applyBorder="1" applyAlignment="1">
      <alignment horizontal="right"/>
    </xf>
    <xf numFmtId="0" fontId="2" fillId="2" borderId="2" xfId="0" applyFont="1" applyFill="1" applyBorder="1" applyAlignment="1">
      <alignment horizontal="center" vertical="center" wrapText="1"/>
    </xf>
    <xf numFmtId="166" fontId="19" fillId="5" borderId="21" xfId="4" applyNumberFormat="1" applyFont="1" applyBorder="1" applyAlignment="1">
      <alignment horizontal="right"/>
    </xf>
    <xf numFmtId="0" fontId="2" fillId="2" borderId="30" xfId="0" applyFont="1" applyFill="1" applyBorder="1" applyAlignment="1">
      <alignment horizontal="center" vertical="center" wrapText="1"/>
    </xf>
    <xf numFmtId="166" fontId="19" fillId="5" borderId="31" xfId="4" applyNumberFormat="1" applyFont="1" applyBorder="1" applyAlignment="1">
      <alignment horizontal="right"/>
    </xf>
    <xf numFmtId="166" fontId="19" fillId="5" borderId="20" xfId="4" applyNumberFormat="1" applyFont="1" applyBorder="1" applyAlignment="1">
      <alignment horizontal="right"/>
    </xf>
    <xf numFmtId="166" fontId="19" fillId="5" borderId="28" xfId="4" applyNumberFormat="1" applyFont="1" applyBorder="1" applyAlignment="1">
      <alignment horizontal="right"/>
    </xf>
    <xf numFmtId="0" fontId="2" fillId="0" borderId="18"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right" vertical="center" wrapText="1"/>
    </xf>
    <xf numFmtId="3" fontId="0" fillId="0" borderId="9" xfId="0" applyNumberFormat="1" applyFill="1" applyBorder="1" applyAlignment="1">
      <alignment horizontal="right"/>
    </xf>
    <xf numFmtId="3" fontId="0" fillId="0" borderId="9" xfId="0" applyNumberFormat="1" applyFill="1" applyBorder="1" applyAlignment="1">
      <alignment horizontal="right" vertical="center"/>
    </xf>
    <xf numFmtId="3" fontId="0" fillId="0" borderId="6" xfId="0" applyNumberFormat="1" applyFill="1" applyBorder="1" applyAlignment="1">
      <alignment horizontal="right"/>
    </xf>
    <xf numFmtId="3" fontId="0" fillId="0" borderId="10" xfId="0" applyNumberFormat="1" applyFill="1" applyBorder="1" applyAlignment="1">
      <alignment horizontal="right"/>
    </xf>
    <xf numFmtId="3" fontId="0" fillId="0" borderId="6" xfId="0" applyNumberFormat="1" applyFill="1" applyBorder="1" applyAlignment="1">
      <alignment horizontal="right" vertical="center"/>
    </xf>
    <xf numFmtId="43" fontId="0" fillId="0" borderId="0" xfId="0" applyNumberFormat="1" applyFill="1"/>
    <xf numFmtId="166" fontId="0" fillId="0" borderId="0" xfId="0" applyNumberFormat="1" applyFont="1"/>
    <xf numFmtId="166" fontId="0" fillId="0" borderId="13" xfId="3" applyNumberFormat="1" applyFont="1" applyBorder="1"/>
    <xf numFmtId="166" fontId="0" fillId="0" borderId="5" xfId="3" applyNumberFormat="1" applyFont="1" applyBorder="1"/>
    <xf numFmtId="166" fontId="0" fillId="0" borderId="32" xfId="3" applyNumberFormat="1" applyFont="1" applyBorder="1"/>
    <xf numFmtId="0" fontId="0" fillId="0" borderId="5" xfId="0" applyBorder="1"/>
    <xf numFmtId="166" fontId="0" fillId="0" borderId="0" xfId="3" applyNumberFormat="1" applyFont="1" applyBorder="1"/>
    <xf numFmtId="166" fontId="0" fillId="0" borderId="9" xfId="3" applyNumberFormat="1" applyFont="1" applyBorder="1"/>
    <xf numFmtId="0" fontId="0" fillId="0" borderId="32" xfId="0" applyBorder="1"/>
    <xf numFmtId="166" fontId="0" fillId="0" borderId="4" xfId="3" applyNumberFormat="1" applyFont="1" applyBorder="1"/>
    <xf numFmtId="0" fontId="0" fillId="0" borderId="13" xfId="0" applyBorder="1" applyAlignment="1">
      <alignment horizontal="center" wrapText="1"/>
    </xf>
    <xf numFmtId="0" fontId="0" fillId="0" borderId="1" xfId="0" applyBorder="1" applyAlignment="1">
      <alignment horizontal="center" wrapText="1"/>
    </xf>
    <xf numFmtId="0" fontId="0" fillId="0" borderId="32" xfId="0" applyBorder="1" applyAlignment="1">
      <alignment horizontal="center" wrapText="1"/>
    </xf>
    <xf numFmtId="0" fontId="8" fillId="0" borderId="0" xfId="0" applyFont="1"/>
    <xf numFmtId="0" fontId="8" fillId="0" borderId="0" xfId="0" applyFont="1" applyAlignment="1">
      <alignment vertical="center"/>
    </xf>
    <xf numFmtId="0" fontId="0" fillId="0" borderId="0" xfId="0" applyFont="1" applyAlignment="1">
      <alignment horizontal="left"/>
    </xf>
    <xf numFmtId="166" fontId="10" fillId="5" borderId="20" xfId="4" applyNumberFormat="1" applyAlignment="1">
      <alignment horizontal="center"/>
    </xf>
    <xf numFmtId="165" fontId="0" fillId="0" borderId="0" xfId="0" applyNumberFormat="1" applyFont="1" applyAlignment="1">
      <alignment horizontal="center"/>
    </xf>
    <xf numFmtId="0" fontId="2" fillId="0" borderId="13" xfId="0" applyFont="1" applyBorder="1"/>
    <xf numFmtId="166" fontId="4" fillId="3" borderId="26" xfId="0" applyNumberFormat="1" applyFont="1" applyFill="1" applyBorder="1" applyAlignment="1">
      <alignment horizontal="right" vertical="center"/>
    </xf>
    <xf numFmtId="0" fontId="0" fillId="0" borderId="0" xfId="0" applyAlignment="1">
      <alignment horizontal="left"/>
    </xf>
    <xf numFmtId="2" fontId="0" fillId="8" borderId="1" xfId="1" applyNumberFormat="1" applyFont="1" applyFill="1" applyBorder="1" applyAlignment="1" applyProtection="1">
      <alignment horizontal="center"/>
      <protection locked="0"/>
    </xf>
    <xf numFmtId="2" fontId="19" fillId="5" borderId="20" xfId="4" applyNumberFormat="1" applyFont="1" applyBorder="1" applyAlignment="1">
      <alignment horizontal="center"/>
    </xf>
    <xf numFmtId="2" fontId="19" fillId="5" borderId="28" xfId="4" applyNumberFormat="1" applyFont="1" applyBorder="1" applyAlignment="1">
      <alignment horizontal="center"/>
    </xf>
    <xf numFmtId="0" fontId="0" fillId="0" borderId="1" xfId="0" applyFont="1" applyFill="1" applyBorder="1" applyAlignment="1">
      <alignment horizontal="right"/>
    </xf>
    <xf numFmtId="0" fontId="0" fillId="0" borderId="5" xfId="0" applyFont="1" applyBorder="1" applyAlignment="1">
      <alignment horizontal="left"/>
    </xf>
    <xf numFmtId="0" fontId="0" fillId="0" borderId="6" xfId="0" applyFont="1" applyBorder="1"/>
    <xf numFmtId="0" fontId="0" fillId="0" borderId="0" xfId="0" applyFont="1" applyBorder="1" applyAlignment="1">
      <alignment horizontal="left"/>
    </xf>
    <xf numFmtId="0" fontId="0" fillId="0" borderId="18" xfId="0" applyFont="1" applyBorder="1"/>
    <xf numFmtId="0" fontId="0" fillId="0" borderId="9" xfId="0" applyFont="1" applyBorder="1"/>
    <xf numFmtId="0" fontId="2" fillId="6" borderId="32" xfId="0" applyFont="1" applyFill="1" applyBorder="1" applyAlignment="1">
      <alignment horizontal="right"/>
    </xf>
    <xf numFmtId="166" fontId="4" fillId="3" borderId="38" xfId="0" applyNumberFormat="1" applyFont="1" applyFill="1" applyBorder="1" applyAlignment="1">
      <alignment horizontal="right" vertical="center"/>
    </xf>
    <xf numFmtId="0" fontId="4" fillId="3" borderId="26" xfId="0" applyFont="1" applyFill="1" applyBorder="1" applyAlignment="1">
      <alignment horizontal="center" vertical="center" wrapText="1"/>
    </xf>
    <xf numFmtId="0" fontId="0" fillId="9" borderId="5" xfId="0" applyFont="1" applyFill="1" applyBorder="1" applyAlignment="1">
      <alignment horizontal="center"/>
    </xf>
    <xf numFmtId="0" fontId="0" fillId="9" borderId="9" xfId="0" applyFont="1" applyFill="1" applyBorder="1" applyAlignment="1">
      <alignment horizontal="center"/>
    </xf>
    <xf numFmtId="0" fontId="0" fillId="9" borderId="6" xfId="0" applyFont="1" applyFill="1" applyBorder="1" applyAlignment="1">
      <alignment horizontal="center"/>
    </xf>
    <xf numFmtId="0" fontId="0" fillId="0" borderId="18" xfId="0" applyFont="1" applyBorder="1" applyAlignment="1">
      <alignment horizontal="right"/>
    </xf>
    <xf numFmtId="2" fontId="0" fillId="8" borderId="18" xfId="1" applyNumberFormat="1" applyFont="1" applyFill="1" applyBorder="1" applyAlignment="1" applyProtection="1">
      <alignment horizontal="center"/>
      <protection locked="0"/>
    </xf>
    <xf numFmtId="165" fontId="0" fillId="0" borderId="47" xfId="0" applyNumberFormat="1" applyFont="1" applyBorder="1" applyAlignment="1">
      <alignment horizontal="right" vertical="center"/>
    </xf>
    <xf numFmtId="2" fontId="0" fillId="8" borderId="47" xfId="1" applyNumberFormat="1" applyFont="1" applyFill="1" applyBorder="1" applyAlignment="1" applyProtection="1">
      <alignment horizontal="center"/>
      <protection locked="0"/>
    </xf>
    <xf numFmtId="165" fontId="0" fillId="0" borderId="4" xfId="0" applyNumberFormat="1" applyFont="1" applyBorder="1" applyAlignment="1">
      <alignment horizontal="right" vertical="center"/>
    </xf>
    <xf numFmtId="2" fontId="0" fillId="8" borderId="4" xfId="1" applyNumberFormat="1" applyFont="1" applyFill="1" applyBorder="1" applyAlignment="1" applyProtection="1">
      <alignment horizontal="center"/>
      <protection locked="0"/>
    </xf>
    <xf numFmtId="165" fontId="0" fillId="0" borderId="48" xfId="0" applyNumberFormat="1" applyFont="1" applyBorder="1" applyAlignment="1">
      <alignment horizontal="right" vertical="center"/>
    </xf>
    <xf numFmtId="2" fontId="0" fillId="8" borderId="48" xfId="1" applyNumberFormat="1" applyFont="1" applyFill="1" applyBorder="1" applyAlignment="1" applyProtection="1">
      <alignment horizontal="center"/>
      <protection locked="0"/>
    </xf>
    <xf numFmtId="2" fontId="19" fillId="5" borderId="44" xfId="4" applyNumberFormat="1" applyFont="1" applyBorder="1" applyAlignment="1">
      <alignment horizontal="center"/>
    </xf>
    <xf numFmtId="2" fontId="19" fillId="5" borderId="41" xfId="4" applyNumberFormat="1" applyFont="1" applyBorder="1" applyAlignment="1">
      <alignment horizontal="center"/>
    </xf>
    <xf numFmtId="0" fontId="19" fillId="5" borderId="39" xfId="4" applyFont="1" applyBorder="1" applyAlignment="1">
      <alignment horizontal="right"/>
    </xf>
    <xf numFmtId="166" fontId="19" fillId="5" borderId="44" xfId="4" applyNumberFormat="1" applyFont="1" applyBorder="1" applyAlignment="1">
      <alignment horizontal="right"/>
    </xf>
    <xf numFmtId="166" fontId="19" fillId="5" borderId="57" xfId="4" applyNumberFormat="1" applyFont="1" applyBorder="1" applyAlignment="1">
      <alignment horizontal="right"/>
    </xf>
    <xf numFmtId="166" fontId="19" fillId="5" borderId="58" xfId="4" applyNumberFormat="1" applyFont="1" applyBorder="1" applyAlignment="1">
      <alignment horizontal="right"/>
    </xf>
    <xf numFmtId="166" fontId="19" fillId="5" borderId="41" xfId="4" applyNumberFormat="1" applyFont="1" applyBorder="1" applyAlignment="1">
      <alignment horizontal="right"/>
    </xf>
    <xf numFmtId="0" fontId="2" fillId="6" borderId="55" xfId="0" applyFont="1" applyFill="1" applyBorder="1" applyAlignment="1">
      <alignment horizontal="right"/>
    </xf>
    <xf numFmtId="166" fontId="19" fillId="6" borderId="56" xfId="4" applyNumberFormat="1" applyFont="1" applyFill="1" applyBorder="1" applyAlignment="1">
      <alignment horizontal="right"/>
    </xf>
    <xf numFmtId="166" fontId="19" fillId="6" borderId="60" xfId="4" applyNumberFormat="1" applyFont="1" applyFill="1" applyBorder="1" applyAlignment="1">
      <alignment horizontal="right"/>
    </xf>
    <xf numFmtId="2" fontId="2" fillId="6" borderId="56" xfId="4" applyNumberFormat="1" applyFont="1" applyFill="1" applyBorder="1" applyAlignment="1">
      <alignment horizontal="center"/>
    </xf>
    <xf numFmtId="166" fontId="19" fillId="5" borderId="40" xfId="4" applyNumberFormat="1" applyFont="1" applyBorder="1" applyAlignment="1">
      <alignment horizontal="right"/>
    </xf>
    <xf numFmtId="166" fontId="19" fillId="5" borderId="61" xfId="4" applyNumberFormat="1" applyFont="1" applyBorder="1" applyAlignment="1">
      <alignment horizontal="right"/>
    </xf>
    <xf numFmtId="166" fontId="19" fillId="5" borderId="45" xfId="4" applyNumberFormat="1" applyFont="1" applyBorder="1" applyAlignment="1">
      <alignment horizontal="right"/>
    </xf>
    <xf numFmtId="0" fontId="19" fillId="5" borderId="43" xfId="4" applyFont="1" applyBorder="1" applyAlignment="1">
      <alignment horizontal="right"/>
    </xf>
    <xf numFmtId="2" fontId="19" fillId="5" borderId="23" xfId="4" applyNumberFormat="1" applyFont="1" applyBorder="1" applyAlignment="1">
      <alignment horizontal="center"/>
    </xf>
    <xf numFmtId="2" fontId="19" fillId="5" borderId="46" xfId="4" applyNumberFormat="1" applyFont="1" applyBorder="1" applyAlignment="1">
      <alignment horizontal="center"/>
    </xf>
    <xf numFmtId="0" fontId="19" fillId="5" borderId="62" xfId="4" applyFont="1" applyBorder="1" applyAlignment="1">
      <alignment horizontal="right"/>
    </xf>
    <xf numFmtId="2" fontId="19" fillId="5" borderId="63" xfId="4" applyNumberFormat="1" applyFont="1" applyBorder="1" applyAlignment="1">
      <alignment horizontal="center"/>
    </xf>
    <xf numFmtId="2" fontId="19" fillId="5" borderId="64" xfId="4" applyNumberFormat="1" applyFont="1" applyBorder="1" applyAlignment="1">
      <alignment horizontal="center"/>
    </xf>
    <xf numFmtId="0" fontId="19" fillId="5" borderId="65" xfId="4" applyFont="1" applyBorder="1" applyAlignment="1">
      <alignment horizontal="right"/>
    </xf>
    <xf numFmtId="2" fontId="19" fillId="5" borderId="66" xfId="4" applyNumberFormat="1" applyFont="1" applyBorder="1" applyAlignment="1">
      <alignment horizontal="center"/>
    </xf>
    <xf numFmtId="2" fontId="19" fillId="5" borderId="67" xfId="4" applyNumberFormat="1" applyFont="1" applyBorder="1" applyAlignment="1">
      <alignment horizontal="center"/>
    </xf>
    <xf numFmtId="166" fontId="19" fillId="5" borderId="68" xfId="4" applyNumberFormat="1" applyFont="1" applyBorder="1" applyAlignment="1">
      <alignment horizontal="right"/>
    </xf>
    <xf numFmtId="166" fontId="19" fillId="5" borderId="63" xfId="4" applyNumberFormat="1" applyFont="1" applyBorder="1" applyAlignment="1">
      <alignment horizontal="right"/>
    </xf>
    <xf numFmtId="166" fontId="19" fillId="5" borderId="70" xfId="4" applyNumberFormat="1" applyFont="1" applyBorder="1" applyAlignment="1">
      <alignment horizontal="right"/>
    </xf>
    <xf numFmtId="166" fontId="19" fillId="5" borderId="64" xfId="4" applyNumberFormat="1" applyFont="1" applyBorder="1" applyAlignment="1">
      <alignment horizontal="right"/>
    </xf>
    <xf numFmtId="166" fontId="19" fillId="5" borderId="66" xfId="4" applyNumberFormat="1" applyFont="1" applyBorder="1" applyAlignment="1">
      <alignment horizontal="right"/>
    </xf>
    <xf numFmtId="166" fontId="19" fillId="5" borderId="71" xfId="4" applyNumberFormat="1" applyFont="1" applyBorder="1" applyAlignment="1">
      <alignment horizontal="right"/>
    </xf>
    <xf numFmtId="166" fontId="19" fillId="5" borderId="67" xfId="4" applyNumberFormat="1" applyFont="1" applyBorder="1" applyAlignment="1">
      <alignment horizontal="right"/>
    </xf>
    <xf numFmtId="166" fontId="19" fillId="6" borderId="36" xfId="4" applyNumberFormat="1" applyFont="1" applyFill="1" applyBorder="1" applyAlignment="1">
      <alignment horizontal="center"/>
    </xf>
    <xf numFmtId="166" fontId="19" fillId="6" borderId="37" xfId="4" applyNumberFormat="1" applyFont="1" applyFill="1" applyBorder="1" applyAlignment="1">
      <alignment horizontal="center"/>
    </xf>
    <xf numFmtId="166" fontId="19" fillId="6" borderId="35" xfId="4" applyNumberFormat="1" applyFont="1" applyFill="1" applyBorder="1" applyAlignment="1">
      <alignment horizontal="center"/>
    </xf>
    <xf numFmtId="166" fontId="19" fillId="6" borderId="25" xfId="4" applyNumberFormat="1" applyFont="1" applyFill="1" applyBorder="1" applyAlignment="1">
      <alignment horizontal="center"/>
    </xf>
    <xf numFmtId="166" fontId="19" fillId="6" borderId="29" xfId="4" applyNumberFormat="1" applyFont="1" applyFill="1" applyBorder="1" applyAlignment="1">
      <alignment horizontal="center"/>
    </xf>
    <xf numFmtId="166" fontId="4" fillId="3" borderId="26" xfId="0" applyNumberFormat="1" applyFont="1" applyFill="1" applyBorder="1" applyAlignment="1">
      <alignment horizontal="center" vertical="center"/>
    </xf>
    <xf numFmtId="2" fontId="0" fillId="0" borderId="47" xfId="0" applyNumberFormat="1" applyFont="1" applyBorder="1"/>
    <xf numFmtId="2" fontId="2" fillId="6" borderId="4" xfId="1" applyNumberFormat="1" applyFont="1" applyFill="1" applyBorder="1" applyAlignment="1">
      <alignment horizontal="center"/>
    </xf>
    <xf numFmtId="2" fontId="0" fillId="8" borderId="2" xfId="1" applyNumberFormat="1" applyFont="1" applyFill="1" applyBorder="1" applyAlignment="1" applyProtection="1">
      <alignment horizontal="center"/>
      <protection locked="0"/>
    </xf>
    <xf numFmtId="2" fontId="0" fillId="8" borderId="26" xfId="1" applyNumberFormat="1" applyFont="1" applyFill="1" applyBorder="1" applyAlignment="1" applyProtection="1">
      <alignment horizontal="center"/>
      <protection locked="0"/>
    </xf>
    <xf numFmtId="2" fontId="0" fillId="8" borderId="74" xfId="1" applyNumberFormat="1" applyFont="1" applyFill="1" applyBorder="1" applyAlignment="1" applyProtection="1">
      <alignment horizontal="center"/>
      <protection locked="0"/>
    </xf>
    <xf numFmtId="2" fontId="0" fillId="8" borderId="75" xfId="1" applyNumberFormat="1" applyFont="1" applyFill="1" applyBorder="1" applyAlignment="1" applyProtection="1">
      <alignment horizontal="center"/>
      <protection locked="0"/>
    </xf>
    <xf numFmtId="2" fontId="0" fillId="8" borderId="32" xfId="1" applyNumberFormat="1" applyFont="1" applyFill="1" applyBorder="1" applyAlignment="1" applyProtection="1">
      <alignment horizontal="center"/>
      <protection locked="0"/>
    </xf>
    <xf numFmtId="2" fontId="2" fillId="6" borderId="32" xfId="1" applyNumberFormat="1" applyFont="1" applyFill="1" applyBorder="1" applyAlignment="1">
      <alignment horizontal="center"/>
    </xf>
    <xf numFmtId="2" fontId="0" fillId="8" borderId="30" xfId="1" applyNumberFormat="1" applyFont="1" applyFill="1" applyBorder="1" applyAlignment="1" applyProtection="1">
      <alignment horizontal="center"/>
      <protection locked="0"/>
    </xf>
    <xf numFmtId="2" fontId="0" fillId="8" borderId="38" xfId="1" applyNumberFormat="1" applyFont="1" applyFill="1" applyBorder="1" applyAlignment="1" applyProtection="1">
      <alignment horizontal="center"/>
      <protection locked="0"/>
    </xf>
    <xf numFmtId="2" fontId="0" fillId="8" borderId="76" xfId="1" applyNumberFormat="1" applyFont="1" applyFill="1" applyBorder="1" applyAlignment="1" applyProtection="1">
      <alignment horizontal="center"/>
      <protection locked="0"/>
    </xf>
    <xf numFmtId="2" fontId="0" fillId="8" borderId="77" xfId="1" applyNumberFormat="1" applyFont="1" applyFill="1" applyBorder="1" applyAlignment="1" applyProtection="1">
      <alignment horizontal="center"/>
      <protection locked="0"/>
    </xf>
    <xf numFmtId="2" fontId="0" fillId="8" borderId="78" xfId="1" applyNumberFormat="1" applyFont="1" applyFill="1" applyBorder="1" applyAlignment="1" applyProtection="1">
      <alignment horizontal="center"/>
      <protection locked="0"/>
    </xf>
    <xf numFmtId="2" fontId="2" fillId="6" borderId="78" xfId="1" applyNumberFormat="1" applyFont="1" applyFill="1" applyBorder="1" applyAlignment="1">
      <alignment horizontal="center"/>
    </xf>
    <xf numFmtId="2" fontId="19" fillId="5" borderId="21" xfId="4" applyNumberFormat="1" applyFont="1" applyBorder="1" applyAlignment="1">
      <alignment horizontal="center"/>
    </xf>
    <xf numFmtId="2" fontId="19" fillId="5" borderId="57" xfId="4" applyNumberFormat="1" applyFont="1" applyBorder="1" applyAlignment="1">
      <alignment horizontal="center"/>
    </xf>
    <xf numFmtId="2" fontId="19" fillId="5" borderId="69" xfId="4" applyNumberFormat="1" applyFont="1" applyBorder="1" applyAlignment="1">
      <alignment horizontal="center"/>
    </xf>
    <xf numFmtId="2" fontId="19" fillId="5" borderId="79" xfId="4" applyNumberFormat="1" applyFont="1" applyBorder="1" applyAlignment="1">
      <alignment horizontal="center"/>
    </xf>
    <xf numFmtId="2" fontId="19" fillId="5" borderId="80" xfId="4" applyNumberFormat="1" applyFont="1" applyBorder="1" applyAlignment="1">
      <alignment horizontal="center"/>
    </xf>
    <xf numFmtId="2" fontId="2" fillId="6" borderId="59" xfId="4" applyNumberFormat="1" applyFont="1" applyFill="1" applyBorder="1" applyAlignment="1">
      <alignment horizontal="center"/>
    </xf>
    <xf numFmtId="2" fontId="19" fillId="5" borderId="31" xfId="4" applyNumberFormat="1" applyFont="1" applyBorder="1" applyAlignment="1">
      <alignment horizontal="center"/>
    </xf>
    <xf numFmtId="2" fontId="19" fillId="5" borderId="58" xfId="4" applyNumberFormat="1" applyFont="1" applyBorder="1" applyAlignment="1">
      <alignment horizontal="center"/>
    </xf>
    <xf numFmtId="2" fontId="19" fillId="5" borderId="70" xfId="4" applyNumberFormat="1" applyFont="1" applyBorder="1" applyAlignment="1">
      <alignment horizontal="center"/>
    </xf>
    <xf numFmtId="2" fontId="19" fillId="5" borderId="71" xfId="4" applyNumberFormat="1" applyFont="1" applyBorder="1" applyAlignment="1">
      <alignment horizontal="center"/>
    </xf>
    <xf numFmtId="2" fontId="19" fillId="5" borderId="68" xfId="4" applyNumberFormat="1" applyFont="1" applyBorder="1" applyAlignment="1">
      <alignment horizontal="center"/>
    </xf>
    <xf numFmtId="2" fontId="2" fillId="6" borderId="60" xfId="4" applyNumberFormat="1" applyFont="1" applyFill="1" applyBorder="1" applyAlignment="1">
      <alignment horizontal="center"/>
    </xf>
    <xf numFmtId="2" fontId="0" fillId="0" borderId="74" xfId="1" applyNumberFormat="1" applyFont="1" applyFill="1" applyBorder="1" applyAlignment="1">
      <alignment horizontal="center"/>
    </xf>
    <xf numFmtId="2" fontId="0" fillId="0" borderId="2" xfId="1" applyNumberFormat="1" applyFont="1" applyFill="1" applyBorder="1" applyAlignment="1">
      <alignment horizontal="center"/>
    </xf>
    <xf numFmtId="2" fontId="0" fillId="0" borderId="75" xfId="1" applyNumberFormat="1" applyFont="1" applyFill="1" applyBorder="1" applyAlignment="1">
      <alignment horizontal="center"/>
    </xf>
    <xf numFmtId="2" fontId="0" fillId="0" borderId="32" xfId="1" applyNumberFormat="1" applyFont="1" applyFill="1" applyBorder="1" applyAlignment="1">
      <alignment horizontal="center"/>
    </xf>
    <xf numFmtId="0" fontId="20" fillId="9" borderId="1" xfId="0" applyFont="1" applyFill="1" applyBorder="1" applyAlignment="1">
      <alignment horizontal="right" vertical="top"/>
    </xf>
    <xf numFmtId="2" fontId="20" fillId="9" borderId="2" xfId="1" applyNumberFormat="1" applyFont="1" applyFill="1" applyBorder="1" applyAlignment="1">
      <alignment horizontal="center" vertical="top"/>
    </xf>
    <xf numFmtId="2" fontId="20" fillId="9" borderId="30" xfId="1" applyNumberFormat="1" applyFont="1" applyFill="1" applyBorder="1" applyAlignment="1">
      <alignment horizontal="center" vertical="top"/>
    </xf>
    <xf numFmtId="2" fontId="20" fillId="9" borderId="1" xfId="1" applyNumberFormat="1" applyFont="1" applyFill="1" applyBorder="1" applyAlignment="1">
      <alignment horizontal="center" vertical="top"/>
    </xf>
    <xf numFmtId="0" fontId="0" fillId="0" borderId="0" xfId="0" applyFont="1" applyAlignment="1">
      <alignment horizontal="center" vertical="top"/>
    </xf>
    <xf numFmtId="2" fontId="21" fillId="9" borderId="72" xfId="4" applyNumberFormat="1" applyFont="1" applyFill="1" applyBorder="1" applyAlignment="1">
      <alignment horizontal="center" vertical="top"/>
    </xf>
    <xf numFmtId="2" fontId="21" fillId="9" borderId="24" xfId="4" applyNumberFormat="1" applyFont="1" applyFill="1" applyBorder="1" applyAlignment="1">
      <alignment horizontal="center" vertical="top"/>
    </xf>
    <xf numFmtId="2" fontId="21" fillId="9" borderId="73" xfId="4" applyNumberFormat="1" applyFont="1" applyFill="1" applyBorder="1" applyAlignment="1">
      <alignment horizontal="center" vertical="top"/>
    </xf>
    <xf numFmtId="0" fontId="0" fillId="0" borderId="0" xfId="0" applyFont="1" applyBorder="1" applyAlignment="1">
      <alignment horizontal="left" vertical="top"/>
    </xf>
    <xf numFmtId="0" fontId="0" fillId="0" borderId="0" xfId="0" applyFont="1" applyAlignment="1">
      <alignment vertical="top"/>
    </xf>
    <xf numFmtId="166" fontId="4" fillId="3" borderId="30" xfId="0" applyNumberFormat="1" applyFont="1" applyFill="1" applyBorder="1" applyAlignment="1">
      <alignment horizontal="right" vertical="center"/>
    </xf>
    <xf numFmtId="166" fontId="4" fillId="3" borderId="2" xfId="0" applyNumberFormat="1" applyFont="1" applyFill="1" applyBorder="1" applyAlignment="1">
      <alignment horizontal="right" vertical="center"/>
    </xf>
    <xf numFmtId="0" fontId="20" fillId="0" borderId="0" xfId="0" applyFont="1"/>
    <xf numFmtId="0" fontId="20" fillId="9" borderId="0" xfId="0" applyFont="1" applyFill="1" applyBorder="1" applyAlignment="1">
      <alignment horizontal="left" vertical="top"/>
    </xf>
    <xf numFmtId="0" fontId="20" fillId="9" borderId="0" xfId="0" applyFont="1" applyFill="1"/>
    <xf numFmtId="15" fontId="0" fillId="0" borderId="0" xfId="0" applyNumberFormat="1" applyAlignment="1">
      <alignment horizontal="left"/>
    </xf>
    <xf numFmtId="0" fontId="2" fillId="0" borderId="0" xfId="0" applyFont="1"/>
    <xf numFmtId="2" fontId="21" fillId="9" borderId="51" xfId="4" applyNumberFormat="1" applyFont="1" applyFill="1" applyBorder="1" applyAlignment="1">
      <alignment horizontal="center" vertical="center"/>
    </xf>
    <xf numFmtId="2" fontId="21" fillId="9" borderId="45" xfId="4" applyNumberFormat="1" applyFont="1" applyFill="1" applyBorder="1" applyAlignment="1">
      <alignment horizontal="center" vertical="center"/>
    </xf>
    <xf numFmtId="2" fontId="21" fillId="9" borderId="54" xfId="4"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7"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5" xfId="0" applyFont="1" applyFill="1" applyBorder="1" applyAlignment="1">
      <alignment horizontal="center" vertical="center" wrapText="1"/>
    </xf>
    <xf numFmtId="2" fontId="21" fillId="9" borderId="49" xfId="4" applyNumberFormat="1" applyFont="1" applyFill="1" applyBorder="1" applyAlignment="1">
      <alignment horizontal="center" vertical="center"/>
    </xf>
    <xf numFmtId="2" fontId="21" fillId="9" borderId="42" xfId="4" applyNumberFormat="1" applyFont="1" applyFill="1" applyBorder="1" applyAlignment="1">
      <alignment horizontal="center" vertical="center"/>
    </xf>
    <xf numFmtId="2" fontId="21" fillId="9" borderId="52" xfId="4" applyNumberFormat="1" applyFont="1" applyFill="1" applyBorder="1" applyAlignment="1">
      <alignment horizontal="center" vertical="center"/>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13" xfId="0" applyFont="1" applyBorder="1" applyAlignment="1">
      <alignment horizontal="center" vertical="top" wrapText="1"/>
    </xf>
    <xf numFmtId="2" fontId="21" fillId="9" borderId="50" xfId="4" applyNumberFormat="1" applyFont="1" applyFill="1" applyBorder="1" applyAlignment="1">
      <alignment horizontal="center" vertical="center"/>
    </xf>
    <xf numFmtId="2" fontId="21" fillId="9" borderId="40" xfId="4" applyNumberFormat="1" applyFont="1" applyFill="1" applyBorder="1" applyAlignment="1">
      <alignment horizontal="center" vertical="center"/>
    </xf>
    <xf numFmtId="2" fontId="21" fillId="9" borderId="53" xfId="4" applyNumberFormat="1" applyFont="1" applyFill="1" applyBorder="1" applyAlignment="1">
      <alignment horizontal="center" vertical="center"/>
    </xf>
    <xf numFmtId="0" fontId="20" fillId="9" borderId="0" xfId="0" applyFont="1" applyFill="1" applyBorder="1" applyAlignment="1">
      <alignment horizontal="center" vertical="top" wrapText="1"/>
    </xf>
    <xf numFmtId="0" fontId="4" fillId="3" borderId="2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2" fillId="8" borderId="33"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vertical="center"/>
      <protection locked="0"/>
    </xf>
    <xf numFmtId="0" fontId="2" fillId="8" borderId="34" xfId="0"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Alignment="1">
      <alignment horizontal="center" vertical="center"/>
    </xf>
    <xf numFmtId="0" fontId="2" fillId="2" borderId="2"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3" fontId="10" fillId="5" borderId="2" xfId="4" applyNumberFormat="1" applyBorder="1" applyAlignment="1">
      <alignment horizontal="center"/>
    </xf>
    <xf numFmtId="3" fontId="10" fillId="5" borderId="17" xfId="4" applyNumberFormat="1" applyBorder="1" applyAlignment="1">
      <alignment horizontal="center"/>
    </xf>
    <xf numFmtId="3" fontId="10" fillId="5" borderId="3" xfId="4" applyNumberFormat="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8" fillId="0" borderId="0" xfId="0" applyFont="1" applyAlignment="1">
      <alignment horizontal="left" vertical="top" wrapText="1"/>
    </xf>
    <xf numFmtId="168" fontId="12" fillId="5" borderId="22" xfId="4" applyNumberFormat="1" applyFont="1" applyBorder="1" applyAlignment="1">
      <alignment horizontal="center" vertical="center" wrapText="1"/>
    </xf>
    <xf numFmtId="168" fontId="12" fillId="5" borderId="0" xfId="4" applyNumberFormat="1" applyFont="1" applyBorder="1" applyAlignment="1">
      <alignment horizontal="center" vertical="center" wrapText="1"/>
    </xf>
    <xf numFmtId="0" fontId="0" fillId="9" borderId="2" xfId="0" applyFill="1" applyBorder="1" applyAlignment="1">
      <alignment horizontal="center"/>
    </xf>
    <xf numFmtId="0" fontId="0" fillId="9" borderId="17" xfId="0" applyFill="1" applyBorder="1" applyAlignment="1">
      <alignment horizontal="center"/>
    </xf>
    <xf numFmtId="0" fontId="0" fillId="9" borderId="3" xfId="0" applyFill="1" applyBorder="1" applyAlignment="1">
      <alignment horizontal="center"/>
    </xf>
    <xf numFmtId="0" fontId="7" fillId="0" borderId="0" xfId="0" applyFont="1" applyBorder="1" applyAlignment="1">
      <alignment horizontal="center" vertical="center" wrapText="1"/>
    </xf>
    <xf numFmtId="0" fontId="0" fillId="0" borderId="0" xfId="0" applyAlignment="1">
      <alignment horizontal="center" vertical="center" wrapText="1"/>
    </xf>
    <xf numFmtId="0" fontId="2" fillId="2" borderId="2" xfId="0" applyFont="1" applyFill="1" applyBorder="1" applyAlignment="1">
      <alignment horizontal="center" vertical="center"/>
    </xf>
    <xf numFmtId="0" fontId="0" fillId="0" borderId="4" xfId="0" applyFont="1" applyFill="1" applyBorder="1"/>
    <xf numFmtId="167" fontId="0" fillId="0" borderId="13" xfId="3" applyNumberFormat="1" applyFont="1" applyFill="1" applyBorder="1" applyAlignment="1">
      <alignment horizontal="right"/>
    </xf>
    <xf numFmtId="0" fontId="0" fillId="0" borderId="0" xfId="0" applyAlignment="1">
      <alignment horizontal="center"/>
    </xf>
    <xf numFmtId="167" fontId="0" fillId="0" borderId="9" xfId="3" applyNumberFormat="1" applyFont="1" applyFill="1" applyBorder="1" applyAlignment="1">
      <alignment horizontal="right"/>
    </xf>
    <xf numFmtId="167" fontId="0" fillId="0" borderId="0" xfId="3" applyNumberFormat="1" applyFont="1"/>
    <xf numFmtId="167" fontId="0" fillId="0" borderId="9" xfId="3"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2" fillId="0" borderId="9" xfId="0" applyFont="1" applyBorder="1"/>
    <xf numFmtId="3" fontId="0" fillId="0" borderId="14" xfId="0" applyNumberFormat="1" applyFill="1" applyBorder="1" applyAlignment="1">
      <alignment horizontal="right" vertical="center"/>
    </xf>
    <xf numFmtId="0" fontId="0" fillId="10" borderId="1" xfId="0" applyFill="1" applyBorder="1" applyAlignment="1">
      <alignment horizontal="center" vertical="center"/>
    </xf>
    <xf numFmtId="166" fontId="19" fillId="5" borderId="81" xfId="4" applyNumberFormat="1" applyFont="1" applyBorder="1" applyAlignment="1">
      <alignment horizontal="right"/>
    </xf>
    <xf numFmtId="166" fontId="19" fillId="5" borderId="82" xfId="4" applyNumberFormat="1" applyFont="1" applyBorder="1" applyAlignment="1">
      <alignment horizontal="right"/>
    </xf>
    <xf numFmtId="166" fontId="19" fillId="5" borderId="83" xfId="4" applyNumberFormat="1" applyFont="1" applyBorder="1" applyAlignment="1">
      <alignment horizontal="right"/>
    </xf>
    <xf numFmtId="166" fontId="19" fillId="5" borderId="84" xfId="4" applyNumberFormat="1" applyFont="1" applyBorder="1" applyAlignment="1">
      <alignment horizontal="right"/>
    </xf>
    <xf numFmtId="168" fontId="0" fillId="0" borderId="0" xfId="0" applyNumberFormat="1"/>
    <xf numFmtId="0" fontId="24" fillId="0" borderId="0" xfId="0" applyFont="1"/>
    <xf numFmtId="0" fontId="2" fillId="11" borderId="1" xfId="0" applyFont="1" applyFill="1" applyBorder="1" applyAlignment="1">
      <alignment horizontal="center" vertical="center" wrapText="1"/>
    </xf>
    <xf numFmtId="167" fontId="0" fillId="11" borderId="5" xfId="3" applyNumberFormat="1" applyFont="1" applyFill="1" applyBorder="1"/>
    <xf numFmtId="167" fontId="0" fillId="11" borderId="9" xfId="3" applyNumberFormat="1" applyFont="1" applyFill="1" applyBorder="1"/>
    <xf numFmtId="167" fontId="22" fillId="11" borderId="5" xfId="3" applyNumberFormat="1" applyFont="1" applyFill="1" applyBorder="1"/>
    <xf numFmtId="167" fontId="22" fillId="11" borderId="9" xfId="3" applyNumberFormat="1" applyFont="1" applyFill="1" applyBorder="1"/>
    <xf numFmtId="167" fontId="0" fillId="11" borderId="14" xfId="3" applyNumberFormat="1" applyFont="1" applyFill="1" applyBorder="1" applyAlignment="1">
      <alignment horizontal="right" vertical="center"/>
    </xf>
    <xf numFmtId="167" fontId="0" fillId="11" borderId="13" xfId="3" applyNumberFormat="1" applyFont="1" applyFill="1" applyBorder="1" applyAlignment="1">
      <alignment horizontal="right"/>
    </xf>
  </cellXfs>
  <cellStyles count="5">
    <cellStyle name="Comma" xfId="3" builtinId="3"/>
    <cellStyle name="Hyperlink" xfId="2" builtinId="8"/>
    <cellStyle name="Normal" xfId="0" builtinId="0"/>
    <cellStyle name="Output" xfId="4" builtinId="21"/>
    <cellStyle name="Percent" xfId="1" builtinId="5"/>
  </cellStyles>
  <dxfs count="25">
    <dxf>
      <font>
        <color rgb="FF9C0006"/>
      </font>
      <fill>
        <patternFill>
          <bgColor rgb="FFFFC7CE"/>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ill>
        <patternFill>
          <bgColor theme="6" tint="0.39994506668294322"/>
        </patternFill>
      </fill>
    </dxf>
    <dxf>
      <fill>
        <patternFill>
          <bgColor theme="4" tint="0.39994506668294322"/>
        </patternFill>
      </fill>
    </dxf>
    <dxf>
      <fill>
        <patternFill>
          <bgColor theme="5" tint="0.39994506668294322"/>
        </patternFill>
      </fill>
    </dxf>
    <dxf>
      <font>
        <b/>
        <i/>
      </font>
      <fill>
        <patternFill>
          <bgColor rgb="FFFF5050"/>
        </patternFill>
      </fill>
    </dxf>
    <dxf>
      <font>
        <b/>
        <i/>
      </font>
      <fill>
        <patternFill>
          <bgColor rgb="FFFF5050"/>
        </patternFill>
      </fill>
    </dxf>
    <dxf>
      <font>
        <b/>
        <i/>
      </font>
      <fill>
        <patternFill>
          <bgColor rgb="FFFF5050"/>
        </patternFill>
      </fill>
    </dxf>
    <dxf>
      <font>
        <b/>
        <i/>
      </font>
      <fill>
        <patternFill>
          <bgColor rgb="FFFF5050"/>
        </patternFill>
      </fill>
    </dxf>
    <dxf>
      <font>
        <b/>
        <i/>
      </font>
      <fill>
        <patternFill>
          <bgColor rgb="FFFF5050"/>
        </patternFill>
      </fill>
    </dxf>
    <dxf>
      <font>
        <color rgb="FF9C0006"/>
      </font>
      <fill>
        <patternFill>
          <bgColor rgb="FFFFC7CE"/>
        </patternFill>
      </fill>
    </dxf>
    <dxf>
      <font>
        <b/>
        <i/>
      </font>
      <fill>
        <patternFill>
          <bgColor rgb="FFFF5050"/>
        </patternFill>
      </fill>
    </dxf>
    <dxf>
      <font>
        <b/>
        <i/>
      </font>
      <fill>
        <patternFill>
          <bgColor rgb="FFFF5050"/>
        </patternFill>
      </fill>
    </dxf>
    <dxf>
      <font>
        <b/>
        <i/>
      </font>
      <fill>
        <patternFill>
          <bgColor rgb="FFFF5050"/>
        </patternFill>
      </fill>
    </dxf>
    <dxf>
      <font>
        <b/>
        <i/>
      </font>
      <fill>
        <patternFill>
          <bgColor rgb="FFFF5050"/>
        </patternFill>
      </fill>
    </dxf>
    <dxf>
      <font>
        <b/>
        <i/>
      </font>
      <fill>
        <patternFill>
          <bgColor rgb="FFFF5050"/>
        </patternFill>
      </fill>
    </dxf>
    <dxf>
      <font>
        <color rgb="FF9C5700"/>
      </font>
      <fill>
        <patternFill>
          <bgColor rgb="FFFFEB9C"/>
        </patternFill>
      </fill>
    </dxf>
  </dxfs>
  <tableStyles count="0" defaultTableStyle="TableStyleMedium2" defaultPivotStyle="PivotStyleLight16"/>
  <colors>
    <mruColors>
      <color rgb="FF00FF99"/>
      <color rgb="FFFF3399"/>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'WTE Modelling'!$B$47:$I$47</c:f>
          <c:strCache>
            <c:ptCount val="8"/>
            <c:pt idx="0">
              <c:v>Cumulative WTE Breakdown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34141121261356E-2"/>
          <c:y val="5.2387005649717516E-2"/>
          <c:w val="0.93610945211077234"/>
          <c:h val="0.46753050632264431"/>
        </c:manualLayout>
      </c:layout>
      <c:barChart>
        <c:barDir val="col"/>
        <c:grouping val="stacked"/>
        <c:varyColors val="0"/>
        <c:ser>
          <c:idx val="0"/>
          <c:order val="0"/>
          <c:tx>
            <c:strRef>
              <c:f>'WTE Modelling'!$B$50</c:f>
              <c:strCache>
                <c:ptCount val="1"/>
                <c:pt idx="0">
                  <c:v>Pharmacy Technician</c:v>
                </c:pt>
              </c:strCache>
            </c:strRef>
          </c:tx>
          <c:spPr>
            <a:solidFill>
              <a:srgbClr val="7030A0"/>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Modelling'!$C$50:$I$50</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388-4A16-890B-2186DEE9C010}"/>
            </c:ext>
          </c:extLst>
        </c:ser>
        <c:ser>
          <c:idx val="1"/>
          <c:order val="1"/>
          <c:tx>
            <c:strRef>
              <c:f>'WTE Modelling'!$B$51</c:f>
              <c:strCache>
                <c:ptCount val="1"/>
                <c:pt idx="0">
                  <c:v>Clinical Pharmacist</c:v>
                </c:pt>
              </c:strCache>
            </c:strRef>
          </c:tx>
          <c:spPr>
            <a:solidFill>
              <a:schemeClr val="accent2"/>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Modelling'!$C$51:$I$51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388-4A16-890B-2186DEE9C010}"/>
            </c:ext>
          </c:extLst>
        </c:ser>
        <c:ser>
          <c:idx val="2"/>
          <c:order val="2"/>
          <c:tx>
            <c:strRef>
              <c:f>'WTE Modelling'!$B$52</c:f>
              <c:strCache>
                <c:ptCount val="1"/>
                <c:pt idx="0">
                  <c:v>**Advanced Practitioner** (Clinical Pharmacist)</c:v>
                </c:pt>
              </c:strCache>
            </c:strRef>
          </c:tx>
          <c:spPr>
            <a:solidFill>
              <a:srgbClr val="FF0000"/>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Modelling'!$C$52:$I$52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388-4A16-890B-2186DEE9C010}"/>
            </c:ext>
          </c:extLst>
        </c:ser>
        <c:ser>
          <c:idx val="3"/>
          <c:order val="3"/>
          <c:tx>
            <c:strRef>
              <c:f>'WTE Modelling'!$B$53</c:f>
              <c:strCache>
                <c:ptCount val="1"/>
                <c:pt idx="0">
                  <c:v>Dietitians</c:v>
                </c:pt>
              </c:strCache>
            </c:strRef>
          </c:tx>
          <c:spPr>
            <a:solidFill>
              <a:schemeClr val="accent4"/>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Modelling'!$C$53:$I$53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388-4A16-890B-2186DEE9C010}"/>
            </c:ext>
          </c:extLst>
        </c:ser>
        <c:ser>
          <c:idx val="4"/>
          <c:order val="4"/>
          <c:tx>
            <c:strRef>
              <c:f>'WTE Modelling'!$B$54</c:f>
              <c:strCache>
                <c:ptCount val="1"/>
                <c:pt idx="0">
                  <c:v>**Advanced Practitioner** (Dietician)</c:v>
                </c:pt>
              </c:strCache>
            </c:strRef>
          </c:tx>
          <c:spPr>
            <a:solidFill>
              <a:schemeClr val="accent5"/>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Modelling'!$C$54:$I$54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388-4A16-890B-2186DEE9C010}"/>
            </c:ext>
          </c:extLst>
        </c:ser>
        <c:ser>
          <c:idx val="5"/>
          <c:order val="5"/>
          <c:tx>
            <c:strRef>
              <c:f>'WTE Modelling'!$B$55</c:f>
              <c:strCache>
                <c:ptCount val="1"/>
                <c:pt idx="0">
                  <c:v>First Contact Physiotherapist</c:v>
                </c:pt>
              </c:strCache>
            </c:strRef>
          </c:tx>
          <c:spPr>
            <a:solidFill>
              <a:schemeClr val="accent6"/>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Modelling'!$C$55:$I$55</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F388-4A16-890B-2186DEE9C010}"/>
            </c:ext>
          </c:extLst>
        </c:ser>
        <c:ser>
          <c:idx val="6"/>
          <c:order val="6"/>
          <c:tx>
            <c:strRef>
              <c:f>'WTE Modelling'!$B$56</c:f>
              <c:strCache>
                <c:ptCount val="1"/>
                <c:pt idx="0">
                  <c:v>**Advanced Practitioner** (First Contact Physiotherapist)</c:v>
                </c:pt>
              </c:strCache>
            </c:strRef>
          </c:tx>
          <c:spPr>
            <a:solidFill>
              <a:schemeClr val="accent1">
                <a:lumMod val="6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Modelling'!$C$56:$I$56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F388-4A16-890B-2186DEE9C010}"/>
            </c:ext>
          </c:extLst>
        </c:ser>
        <c:ser>
          <c:idx val="7"/>
          <c:order val="7"/>
          <c:tx>
            <c:strRef>
              <c:f>'WTE Modelling'!$B$57</c:f>
              <c:strCache>
                <c:ptCount val="1"/>
                <c:pt idx="0">
                  <c:v>Occupational Therapist</c:v>
                </c:pt>
              </c:strCache>
            </c:strRef>
          </c:tx>
          <c:spPr>
            <a:solidFill>
              <a:schemeClr val="accent2">
                <a:lumMod val="6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Modelling'!$C$57:$I$57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F388-4A16-890B-2186DEE9C010}"/>
            </c:ext>
          </c:extLst>
        </c:ser>
        <c:ser>
          <c:idx val="8"/>
          <c:order val="8"/>
          <c:tx>
            <c:strRef>
              <c:f>'WTE Modelling'!$B$58</c:f>
              <c:strCache>
                <c:ptCount val="1"/>
                <c:pt idx="0">
                  <c:v>**Advanced Practitioner** (Occupational Therapist)</c:v>
                </c:pt>
              </c:strCache>
            </c:strRef>
          </c:tx>
          <c:spPr>
            <a:solidFill>
              <a:schemeClr val="accent3">
                <a:lumMod val="6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Modelling'!$C$58:$I$58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F388-4A16-890B-2186DEE9C010}"/>
            </c:ext>
          </c:extLst>
        </c:ser>
        <c:ser>
          <c:idx val="9"/>
          <c:order val="9"/>
          <c:tx>
            <c:strRef>
              <c:f>'WTE Modelling'!$B$59</c:f>
              <c:strCache>
                <c:ptCount val="1"/>
                <c:pt idx="0">
                  <c:v>Paramedic</c:v>
                </c:pt>
              </c:strCache>
            </c:strRef>
          </c:tx>
          <c:spPr>
            <a:solidFill>
              <a:schemeClr val="accent2">
                <a:lumMod val="20000"/>
                <a:lumOff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Modelling'!$C$59:$I$59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A-F388-4A16-890B-2186DEE9C010}"/>
            </c:ext>
          </c:extLst>
        </c:ser>
        <c:ser>
          <c:idx val="10"/>
          <c:order val="10"/>
          <c:tx>
            <c:strRef>
              <c:f>'WTE Modelling'!$B$60</c:f>
              <c:strCache>
                <c:ptCount val="1"/>
                <c:pt idx="0">
                  <c:v>**Advanced Practitioner** (Paramedic)</c:v>
                </c:pt>
              </c:strCache>
            </c:strRef>
          </c:tx>
          <c:spPr>
            <a:solidFill>
              <a:schemeClr val="accent5">
                <a:lumMod val="6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Modelling'!$C$60:$I$60</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B-F388-4A16-890B-2186DEE9C010}"/>
            </c:ext>
          </c:extLst>
        </c:ser>
        <c:ser>
          <c:idx val="11"/>
          <c:order val="11"/>
          <c:tx>
            <c:strRef>
              <c:f>'WTE Modelling'!$B$61</c:f>
              <c:strCache>
                <c:ptCount val="1"/>
                <c:pt idx="0">
                  <c:v>Podiatrist</c:v>
                </c:pt>
              </c:strCache>
            </c:strRef>
          </c:tx>
          <c:spPr>
            <a:solidFill>
              <a:schemeClr val="accent6">
                <a:lumMod val="6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Modelling'!$C$61:$I$61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F388-4A16-890B-2186DEE9C010}"/>
            </c:ext>
          </c:extLst>
        </c:ser>
        <c:ser>
          <c:idx val="12"/>
          <c:order val="12"/>
          <c:tx>
            <c:strRef>
              <c:f>'WTE Modelling'!$B$62</c:f>
              <c:strCache>
                <c:ptCount val="1"/>
                <c:pt idx="0">
                  <c:v>**Advanced Practitioner** (Podiatrist)</c:v>
                </c:pt>
              </c:strCache>
            </c:strRef>
          </c:tx>
          <c:spPr>
            <a:solidFill>
              <a:srgbClr val="00FF99"/>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Modelling'!$C$62:$I$62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F388-4A16-890B-2186DEE9C010}"/>
            </c:ext>
          </c:extLst>
        </c:ser>
        <c:ser>
          <c:idx val="13"/>
          <c:order val="13"/>
          <c:tx>
            <c:strRef>
              <c:f>'WTE Modelling'!$B$63</c:f>
              <c:strCache>
                <c:ptCount val="1"/>
                <c:pt idx="0">
                  <c:v>Physician Associate</c:v>
                </c:pt>
              </c:strCache>
            </c:strRef>
          </c:tx>
          <c:spPr>
            <a:solidFill>
              <a:schemeClr val="accent2">
                <a:lumMod val="80000"/>
                <a:lumOff val="2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Modelling'!$C$63:$I$63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F388-4A16-890B-2186DEE9C010}"/>
            </c:ext>
          </c:extLst>
        </c:ser>
        <c:ser>
          <c:idx val="14"/>
          <c:order val="14"/>
          <c:tx>
            <c:strRef>
              <c:f>'WTE Modelling'!$B$64</c:f>
              <c:strCache>
                <c:ptCount val="1"/>
                <c:pt idx="0">
                  <c:v>Care Co-ordinator</c:v>
                </c:pt>
              </c:strCache>
            </c:strRef>
          </c:tx>
          <c:spPr>
            <a:solidFill>
              <a:srgbClr val="00B050"/>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Modelling'!$C$64:$I$64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F-F388-4A16-890B-2186DEE9C010}"/>
            </c:ext>
          </c:extLst>
        </c:ser>
        <c:ser>
          <c:idx val="15"/>
          <c:order val="15"/>
          <c:tx>
            <c:strRef>
              <c:f>'WTE Modelling'!$B$65</c:f>
              <c:strCache>
                <c:ptCount val="1"/>
                <c:pt idx="0">
                  <c:v>Health and Wellbeing Coach</c:v>
                </c:pt>
              </c:strCache>
            </c:strRef>
          </c:tx>
          <c:spPr>
            <a:solidFill>
              <a:schemeClr val="tx1">
                <a:lumMod val="75000"/>
                <a:lumOff val="25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Modelling'!$C$65:$I$65</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F388-4A16-890B-2186DEE9C010}"/>
            </c:ext>
          </c:extLst>
        </c:ser>
        <c:ser>
          <c:idx val="16"/>
          <c:order val="16"/>
          <c:tx>
            <c:strRef>
              <c:f>'WTE Modelling'!$B$66</c:f>
              <c:strCache>
                <c:ptCount val="1"/>
                <c:pt idx="0">
                  <c:v>Social Prescribing link worker</c:v>
                </c:pt>
              </c:strCache>
            </c:strRef>
          </c:tx>
          <c:spPr>
            <a:solidFill>
              <a:schemeClr val="accent5">
                <a:lumMod val="80000"/>
                <a:lumOff val="2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Modelling'!$C$66:$I$66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1-F388-4A16-890B-2186DEE9C010}"/>
            </c:ext>
          </c:extLst>
        </c:ser>
        <c:ser>
          <c:idx val="17"/>
          <c:order val="17"/>
          <c:tx>
            <c:strRef>
              <c:f>'WTE Modelling'!$B$67</c:f>
              <c:strCache>
                <c:ptCount val="1"/>
                <c:pt idx="0">
                  <c:v>Nursing Associate</c:v>
                </c:pt>
              </c:strCache>
            </c:strRef>
          </c:tx>
          <c:spPr>
            <a:solidFill>
              <a:schemeClr val="accent6">
                <a:lumMod val="80000"/>
                <a:lumOff val="2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Modelling'!$C$67:$I$67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2-F388-4A16-890B-2186DEE9C010}"/>
            </c:ext>
          </c:extLst>
        </c:ser>
        <c:ser>
          <c:idx val="18"/>
          <c:order val="18"/>
          <c:tx>
            <c:strRef>
              <c:f>'WTE Modelling'!$B$68</c:f>
              <c:strCache>
                <c:ptCount val="1"/>
                <c:pt idx="0">
                  <c:v>Trainee Nursing Associate</c:v>
                </c:pt>
              </c:strCache>
            </c:strRef>
          </c:tx>
          <c:spPr>
            <a:solidFill>
              <a:srgbClr val="FF3399"/>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Modelling'!$C$68:$I$68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3-F388-4A16-890B-2186DEE9C010}"/>
            </c:ext>
          </c:extLst>
        </c:ser>
        <c:ser>
          <c:idx val="19"/>
          <c:order val="19"/>
          <c:tx>
            <c:strRef>
              <c:f>'WTE Modelling'!$B$69</c:f>
              <c:strCache>
                <c:ptCount val="1"/>
                <c:pt idx="0">
                  <c:v>Mental Health Practitioner (50% reimbursement) Band 5</c:v>
                </c:pt>
              </c:strCache>
            </c:strRef>
          </c:tx>
          <c:spPr>
            <a:solidFill>
              <a:schemeClr val="accent2">
                <a:lumMod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Modelling'!$C$69:$I$69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4-F388-4A16-890B-2186DEE9C010}"/>
            </c:ext>
          </c:extLst>
        </c:ser>
        <c:ser>
          <c:idx val="20"/>
          <c:order val="20"/>
          <c:tx>
            <c:strRef>
              <c:f>'WTE Modelling'!$B$70</c:f>
              <c:strCache>
                <c:ptCount val="1"/>
                <c:pt idx="0">
                  <c:v>Mental Health Practitioner (50% reimbursement) Band 6</c:v>
                </c:pt>
              </c:strCache>
            </c:strRef>
          </c:tx>
          <c:spPr>
            <a:solidFill>
              <a:schemeClr val="accent3">
                <a:lumMod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Modelling'!$C$70:$I$70</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5-F388-4A16-890B-2186DEE9C010}"/>
            </c:ext>
          </c:extLst>
        </c:ser>
        <c:ser>
          <c:idx val="21"/>
          <c:order val="21"/>
          <c:tx>
            <c:strRef>
              <c:f>'WTE Modelling'!$B$71</c:f>
              <c:strCache>
                <c:ptCount val="1"/>
                <c:pt idx="0">
                  <c:v>Mental Health Practitioner (50% reimbursement) Band 7</c:v>
                </c:pt>
              </c:strCache>
            </c:strRef>
          </c:tx>
          <c:spPr>
            <a:solidFill>
              <a:schemeClr val="accent4">
                <a:lumMod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Modelling'!$C$71:$I$71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55A-4C40-AEAC-08365A3A1957}"/>
            </c:ext>
          </c:extLst>
        </c:ser>
        <c:ser>
          <c:idx val="22"/>
          <c:order val="22"/>
          <c:tx>
            <c:strRef>
              <c:f>'WTE Modelling'!$B$72</c:f>
              <c:strCache>
                <c:ptCount val="1"/>
                <c:pt idx="0">
                  <c:v>Mental Health Practitioner (50% reimbursement) Band 8a</c:v>
                </c:pt>
              </c:strCache>
            </c:strRef>
          </c:tx>
          <c:spPr>
            <a:solidFill>
              <a:schemeClr val="accent5">
                <a:lumMod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Modelling'!$C$72:$I$72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55A-4C40-AEAC-08365A3A1957}"/>
            </c:ext>
          </c:extLst>
        </c:ser>
        <c:ser>
          <c:idx val="23"/>
          <c:order val="23"/>
          <c:tx>
            <c:strRef>
              <c:f>'WTE Modelling'!$B$73</c:f>
              <c:strCache>
                <c:ptCount val="1"/>
                <c:pt idx="0">
                  <c:v>Children and Young Persons Mental Health Practitioner (50% Reimbursement) Band 5</c:v>
                </c:pt>
              </c:strCache>
            </c:strRef>
          </c:tx>
          <c:spPr>
            <a:solidFill>
              <a:schemeClr val="accent6">
                <a:lumMod val="8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Modelling'!$C$73:$I$73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55A-4C40-AEAC-08365A3A1957}"/>
            </c:ext>
          </c:extLst>
        </c:ser>
        <c:ser>
          <c:idx val="24"/>
          <c:order val="24"/>
          <c:tx>
            <c:strRef>
              <c:f>'WTE Modelling'!$B$74</c:f>
              <c:strCache>
                <c:ptCount val="1"/>
                <c:pt idx="0">
                  <c:v>Children and Young Persons Mental Health Practitioner (50% Reimbursement) Band 6</c:v>
                </c:pt>
              </c:strCache>
            </c:strRef>
          </c:tx>
          <c:spPr>
            <a:solidFill>
              <a:schemeClr val="accent1">
                <a:lumMod val="60000"/>
                <a:lumOff val="4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Modelling'!$C$74:$I$74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55A-4C40-AEAC-08365A3A1957}"/>
            </c:ext>
          </c:extLst>
        </c:ser>
        <c:ser>
          <c:idx val="25"/>
          <c:order val="25"/>
          <c:tx>
            <c:strRef>
              <c:f>'WTE Modelling'!$B$75</c:f>
              <c:strCache>
                <c:ptCount val="1"/>
                <c:pt idx="0">
                  <c:v>Children and Young Persons Mental Health Practitioner (50% Reimbursement) Band 7</c:v>
                </c:pt>
              </c:strCache>
            </c:strRef>
          </c:tx>
          <c:spPr>
            <a:solidFill>
              <a:schemeClr val="accent2">
                <a:lumMod val="60000"/>
                <a:lumOff val="4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Modelling'!$C$75:$I$75</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F55A-4C40-AEAC-08365A3A1957}"/>
            </c:ext>
          </c:extLst>
        </c:ser>
        <c:ser>
          <c:idx val="26"/>
          <c:order val="26"/>
          <c:tx>
            <c:strRef>
              <c:f>'WTE Modelling'!$B$76</c:f>
              <c:strCache>
                <c:ptCount val="1"/>
                <c:pt idx="0">
                  <c:v>Children and Young Persons Mental Health Practitioner (50% Reimbursement) Band 8a</c:v>
                </c:pt>
              </c:strCache>
            </c:strRef>
          </c:tx>
          <c:spPr>
            <a:solidFill>
              <a:schemeClr val="accent3">
                <a:lumMod val="60000"/>
                <a:lumOff val="40000"/>
              </a:schemeClr>
            </a:solidFill>
            <a:ln>
              <a:noFill/>
            </a:ln>
            <a:effectLst/>
          </c:spPr>
          <c:invertIfNegative val="0"/>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Modelling'!$C$76:$I$76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F55A-4C40-AEAC-08365A3A1957}"/>
            </c:ext>
          </c:extLst>
        </c:ser>
        <c:dLbls>
          <c:showLegendKey val="0"/>
          <c:showVal val="0"/>
          <c:showCatName val="0"/>
          <c:showSerName val="0"/>
          <c:showPercent val="0"/>
          <c:showBubbleSize val="0"/>
        </c:dLbls>
        <c:gapWidth val="10"/>
        <c:overlap val="100"/>
        <c:axId val="972369712"/>
        <c:axId val="972375944"/>
      </c:barChart>
      <c:lineChart>
        <c:grouping val="standard"/>
        <c:varyColors val="0"/>
        <c:ser>
          <c:idx val="27"/>
          <c:order val="27"/>
          <c:tx>
            <c:strRef>
              <c:f>'WTE Modelling'!$B$77</c:f>
              <c:strCache>
                <c:ptCount val="1"/>
                <c:pt idx="0">
                  <c:v>Total WTE</c:v>
                </c:pt>
              </c:strCache>
            </c:strRef>
          </c:tx>
          <c:spPr>
            <a:ln w="28575" cap="rnd">
              <a:solidFill>
                <a:schemeClr val="accent4">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'WTE Modelling'!$C$49:$I$49</c:f>
              <c:strCache>
                <c:ptCount val="7"/>
                <c:pt idx="0">
                  <c:v>In post 31 March 2021</c:v>
                </c:pt>
                <c:pt idx="1">
                  <c:v>21/22
End Quarter 1
April- June</c:v>
                </c:pt>
                <c:pt idx="2">
                  <c:v>21/22
End Quarter 2
Jul-Sept</c:v>
                </c:pt>
                <c:pt idx="3">
                  <c:v>21/22
End Quarter 3
Oct-Dec</c:v>
                </c:pt>
                <c:pt idx="4">
                  <c:v>21/22
End Quarter 4
Jan-Mar</c:v>
                </c:pt>
                <c:pt idx="5">
                  <c:v>Year End 2022/23</c:v>
                </c:pt>
                <c:pt idx="6">
                  <c:v>Year End 2023/24</c:v>
                </c:pt>
              </c:strCache>
            </c:strRef>
          </c:cat>
          <c:val>
            <c:numRef>
              <c:f>'WTE Modelling'!$C$77:$I$77</c:f>
              <c:numCache>
                <c:formatCode>0.00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7-F55A-4C40-AEAC-08365A3A1957}"/>
            </c:ext>
          </c:extLst>
        </c:ser>
        <c:dLbls>
          <c:showLegendKey val="0"/>
          <c:showVal val="0"/>
          <c:showCatName val="0"/>
          <c:showSerName val="0"/>
          <c:showPercent val="0"/>
          <c:showBubbleSize val="0"/>
        </c:dLbls>
        <c:marker val="1"/>
        <c:smooth val="0"/>
        <c:axId val="972369712"/>
        <c:axId val="972375944"/>
      </c:lineChart>
      <c:catAx>
        <c:axId val="97236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375944"/>
        <c:crosses val="autoZero"/>
        <c:auto val="1"/>
        <c:lblAlgn val="ctr"/>
        <c:lblOffset val="100"/>
        <c:noMultiLvlLbl val="0"/>
      </c:catAx>
      <c:valAx>
        <c:axId val="9723759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369712"/>
        <c:crosses val="autoZero"/>
        <c:crossBetween val="between"/>
      </c:valAx>
      <c:spPr>
        <a:noFill/>
        <a:ln>
          <a:noFill/>
        </a:ln>
        <a:effectLst/>
      </c:spPr>
    </c:plotArea>
    <c:legend>
      <c:legendPos val="b"/>
      <c:layout>
        <c:manualLayout>
          <c:xMode val="edge"/>
          <c:yMode val="edge"/>
          <c:x val="0"/>
          <c:y val="0.60113559577006781"/>
          <c:w val="0.99368736650036749"/>
          <c:h val="0.359739201032074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100540</xdr:colOff>
      <xdr:row>46</xdr:row>
      <xdr:rowOff>25400</xdr:rowOff>
    </xdr:from>
    <xdr:to>
      <xdr:col>21</xdr:col>
      <xdr:colOff>3397250</xdr:colOff>
      <xdr:row>78</xdr:row>
      <xdr:rowOff>158750</xdr:rowOff>
    </xdr:to>
    <xdr:graphicFrame macro="">
      <xdr:nvGraphicFramePr>
        <xdr:cNvPr id="2" name="Chart 1">
          <a:extLst>
            <a:ext uri="{FF2B5EF4-FFF2-40B4-BE49-F238E27FC236}">
              <a16:creationId xmlns:a16="http://schemas.microsoft.com/office/drawing/2014/main" id="{33A78D79-E95F-4260-ADED-B71EF8B8C9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ngland.nhs.uk/wp-content/uploads/2021/03/B0431-network-contract-des-guidance-for-21-22-in-england.pdf" TargetMode="External"/><Relationship Id="rId7" Type="http://schemas.openxmlformats.org/officeDocument/2006/relationships/comments" Target="../comments2.xml"/><Relationship Id="rId2" Type="http://schemas.openxmlformats.org/officeDocument/2006/relationships/hyperlink" Target="https://www.england.nhs.uk/publication/network-contract-des-specification-2021-22/" TargetMode="External"/><Relationship Id="rId1" Type="http://schemas.openxmlformats.org/officeDocument/2006/relationships/hyperlink" Target="https://www.england.nhs.uk/wp-content/uploads/2019/12/network-contract-des-additional-roles-reimbursement-scheme-guidance-december201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www.england.nhs.uk/wp-content/uploads/2021/03/B0431-network-contract-des-specification-pcn-requirements-and-entitlements-21-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ngland.nhs.uk/wp-content/uploads/2021/07/B0764_Update-to-the-GP-contract-agreement-202122-202324-Financial-implications_July2021.pdf" TargetMode="External"/><Relationship Id="rId2" Type="http://schemas.openxmlformats.org/officeDocument/2006/relationships/hyperlink" Target="https://www.england.nhs.uk/wp-content/uploads/2021/03/B0431-network-contract-des-guidance-for-21-22-in-england.pdf" TargetMode="External"/><Relationship Id="rId1" Type="http://schemas.openxmlformats.org/officeDocument/2006/relationships/hyperlink" Target="https://www.england.nhs.uk/wp-content/uploads/2021/03/B0431-network-contract-des-guidance-for-21-22-in-england.pd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30EE-5E9F-44D2-865B-CB908C6692B4}">
  <sheetPr codeName="Sheet3"/>
  <dimension ref="A1:AA113"/>
  <sheetViews>
    <sheetView showGridLines="0" tabSelected="1" zoomScale="80" zoomScaleNormal="80" workbookViewId="0">
      <selection activeCell="F30" sqref="F30"/>
    </sheetView>
  </sheetViews>
  <sheetFormatPr defaultRowHeight="15" outlineLevelRow="1" x14ac:dyDescent="0.25"/>
  <cols>
    <col min="1" max="1" width="28.85546875" style="123" bestFit="1" customWidth="1"/>
    <col min="2" max="2" width="88" style="31" bestFit="1" customWidth="1"/>
    <col min="3" max="9" width="15" style="31" customWidth="1"/>
    <col min="10" max="10" width="6" style="93" hidden="1" customWidth="1"/>
    <col min="11" max="11" width="1.7109375" style="93" customWidth="1"/>
    <col min="12" max="12" width="15.85546875" style="125" bestFit="1" customWidth="1"/>
    <col min="13" max="14" width="16" style="31" customWidth="1"/>
    <col min="15" max="15" width="20.7109375" style="31" bestFit="1" customWidth="1"/>
    <col min="16" max="18" width="16.42578125" style="31" customWidth="1"/>
    <col min="19" max="19" width="14.42578125" style="31" customWidth="1"/>
    <col min="20" max="20" width="13.7109375" style="31" customWidth="1"/>
    <col min="21" max="21" width="2.85546875" style="31" customWidth="1"/>
    <col min="22" max="22" width="72" style="31" bestFit="1" customWidth="1"/>
    <col min="23" max="23" width="16.28515625" style="31" customWidth="1"/>
    <col min="24" max="24" width="15.5703125" style="31" customWidth="1"/>
    <col min="25" max="25" width="16.140625" style="31" customWidth="1"/>
    <col min="26" max="26" width="16" style="31" customWidth="1"/>
    <col min="27" max="27" width="12.140625" style="31" bestFit="1" customWidth="1"/>
    <col min="28" max="29" width="12" style="31" bestFit="1" customWidth="1"/>
    <col min="30" max="16384" width="9.140625" style="31"/>
  </cols>
  <sheetData>
    <row r="1" spans="1:22" ht="15.75" thickBot="1" x14ac:dyDescent="0.3">
      <c r="B1" s="250" t="s">
        <v>264</v>
      </c>
      <c r="C1" s="250"/>
      <c r="D1" s="250"/>
      <c r="E1" s="250"/>
      <c r="F1" s="250"/>
      <c r="G1" s="250"/>
      <c r="H1" s="250"/>
      <c r="I1" s="250"/>
    </row>
    <row r="2" spans="1:22" ht="30" customHeight="1" thickBot="1" x14ac:dyDescent="0.3">
      <c r="A2" s="94" t="s">
        <v>266</v>
      </c>
      <c r="B2" s="258"/>
      <c r="C2" s="259"/>
      <c r="D2" s="259"/>
      <c r="E2" s="259"/>
      <c r="F2" s="259"/>
      <c r="G2" s="259"/>
      <c r="H2" s="259"/>
      <c r="I2" s="260"/>
      <c r="L2" s="31"/>
      <c r="P2" s="90"/>
      <c r="Q2" s="90"/>
      <c r="R2" s="90"/>
      <c r="S2" s="90"/>
      <c r="T2" s="90"/>
      <c r="U2" s="91"/>
      <c r="V2" s="91"/>
    </row>
    <row r="3" spans="1:22" ht="10.5" customHeight="1" thickBot="1" x14ac:dyDescent="0.3">
      <c r="B3"/>
      <c r="C3"/>
      <c r="D3"/>
      <c r="E3"/>
      <c r="F3"/>
      <c r="G3"/>
      <c r="H3"/>
      <c r="I3"/>
      <c r="M3" s="92"/>
      <c r="N3" s="92"/>
      <c r="O3" s="92"/>
      <c r="P3" s="92"/>
      <c r="Q3" s="92"/>
      <c r="R3" s="92"/>
      <c r="S3" s="92"/>
      <c r="T3" s="92"/>
    </row>
    <row r="4" spans="1:22" ht="30" customHeight="1" thickBot="1" x14ac:dyDescent="0.3">
      <c r="A4" s="94" t="s">
        <v>265</v>
      </c>
      <c r="B4" s="258"/>
      <c r="C4" s="259"/>
      <c r="D4" s="259"/>
      <c r="E4" s="259"/>
      <c r="F4" s="259"/>
      <c r="G4" s="259"/>
      <c r="H4" s="259"/>
      <c r="I4" s="260"/>
      <c r="J4" s="93">
        <f>_xlfn.XLOOKUP(B4,Lookup!J:J,Lookup!I:I,,0)</f>
        <v>0</v>
      </c>
      <c r="M4" s="92"/>
      <c r="N4" s="92"/>
      <c r="O4" s="92"/>
      <c r="P4" s="92"/>
      <c r="Q4" s="92"/>
      <c r="R4" s="92"/>
      <c r="S4" s="92"/>
      <c r="T4" s="92"/>
    </row>
    <row r="5" spans="1:22" customFormat="1" x14ac:dyDescent="0.25">
      <c r="B5" s="261" t="s">
        <v>9</v>
      </c>
      <c r="C5" s="262"/>
      <c r="D5" s="263"/>
      <c r="E5" s="263"/>
      <c r="F5" s="263"/>
      <c r="G5" s="263"/>
      <c r="H5" s="263"/>
      <c r="I5" s="263"/>
      <c r="J5" s="93"/>
      <c r="K5" s="93"/>
      <c r="L5" s="125"/>
    </row>
    <row r="6" spans="1:22" customFormat="1" x14ac:dyDescent="0.25">
      <c r="B6" s="264" t="s">
        <v>23</v>
      </c>
      <c r="C6" s="265"/>
      <c r="D6" s="265"/>
      <c r="E6" s="265"/>
      <c r="F6" s="266"/>
      <c r="G6" s="14" t="s">
        <v>2</v>
      </c>
      <c r="H6" s="14" t="s">
        <v>3</v>
      </c>
      <c r="I6" s="14" t="s">
        <v>4</v>
      </c>
      <c r="J6" s="127"/>
      <c r="K6" s="127"/>
      <c r="L6" s="125"/>
    </row>
    <row r="7" spans="1:22" customFormat="1" x14ac:dyDescent="0.25">
      <c r="B7" s="267">
        <f>_xlfn.XLOOKUP(B4,Lookup!J:J,Lookup!N:N,,0)</f>
        <v>0</v>
      </c>
      <c r="C7" s="268"/>
      <c r="D7" s="268"/>
      <c r="E7" s="268"/>
      <c r="F7" s="269"/>
      <c r="G7" s="126">
        <f>ROUND(ROUND(List_Size_PCN,0)*Lookup!E18,0)</f>
        <v>0</v>
      </c>
      <c r="H7" s="126">
        <f>ROUND(ROUND(List_Size_PCN,0)*Lookup!F18,0)</f>
        <v>0</v>
      </c>
      <c r="I7" s="126">
        <f>ROUND(ROUND(List_Size_PCN,0)*Lookup!G18,0)</f>
        <v>0</v>
      </c>
      <c r="J7" s="127">
        <f>IF(J4="PCN",(IF(List_Size_PCN&lt;100000,1,2)),999)</f>
        <v>999</v>
      </c>
      <c r="K7" s="127"/>
      <c r="L7" s="125"/>
    </row>
    <row r="8" spans="1:22" x14ac:dyDescent="0.25">
      <c r="B8"/>
      <c r="C8"/>
      <c r="D8"/>
      <c r="E8"/>
      <c r="F8"/>
      <c r="G8"/>
      <c r="H8"/>
      <c r="I8"/>
      <c r="M8" s="92"/>
      <c r="N8" s="92"/>
      <c r="O8" s="92"/>
      <c r="P8" s="92"/>
      <c r="Q8" s="92"/>
      <c r="R8" s="92"/>
      <c r="S8" s="92"/>
      <c r="T8" s="92"/>
    </row>
    <row r="9" spans="1:22" ht="45" x14ac:dyDescent="0.25">
      <c r="A9" s="142" t="s">
        <v>253</v>
      </c>
      <c r="B9" s="83"/>
      <c r="C9" s="33" t="str">
        <f t="shared" ref="C9:F9" si="0">C81</f>
        <v>21/22
End Quarter 1
April- June</v>
      </c>
      <c r="D9" s="33" t="str">
        <f t="shared" si="0"/>
        <v>21/22
End Quarter 2
Jul-Sept</v>
      </c>
      <c r="E9" s="33" t="str">
        <f t="shared" si="0"/>
        <v>21/22
End Quarter 3
Oct-Dec</v>
      </c>
      <c r="F9" s="96" t="str">
        <f t="shared" si="0"/>
        <v>21/22
End Quarter 4
Jan-Mar</v>
      </c>
      <c r="G9" s="33" t="str">
        <f t="shared" ref="G9:I9" si="1">G81</f>
        <v>Year End 2021/22</v>
      </c>
      <c r="H9" s="33" t="str">
        <f t="shared" si="1"/>
        <v>Year End 2022/23</v>
      </c>
      <c r="I9" s="33" t="str">
        <f t="shared" si="1"/>
        <v>Year End 2023/24</v>
      </c>
      <c r="J9"/>
      <c r="K9"/>
      <c r="M9" s="92"/>
      <c r="N9" s="92"/>
      <c r="O9" s="92"/>
      <c r="P9" s="92"/>
      <c r="Q9" s="92"/>
      <c r="R9" s="92"/>
      <c r="S9" s="92"/>
      <c r="T9" s="92"/>
    </row>
    <row r="10" spans="1:22" x14ac:dyDescent="0.25">
      <c r="A10" s="31"/>
      <c r="B10" s="140" t="str">
        <f>B109</f>
        <v>Total Spend</v>
      </c>
      <c r="C10" s="184">
        <f t="shared" ref="C10:I10" si="2">C109</f>
        <v>0</v>
      </c>
      <c r="D10" s="184">
        <f t="shared" si="2"/>
        <v>0</v>
      </c>
      <c r="E10" s="184">
        <f t="shared" si="2"/>
        <v>0</v>
      </c>
      <c r="F10" s="185">
        <f t="shared" si="2"/>
        <v>0</v>
      </c>
      <c r="G10" s="186">
        <f t="shared" si="2"/>
        <v>0</v>
      </c>
      <c r="H10" s="187">
        <f t="shared" si="2"/>
        <v>0</v>
      </c>
      <c r="I10" s="188">
        <f t="shared" si="2"/>
        <v>0</v>
      </c>
      <c r="M10" s="92"/>
      <c r="N10" s="92"/>
      <c r="O10" s="92"/>
      <c r="P10" s="92"/>
      <c r="Q10" s="92"/>
      <c r="R10" s="92"/>
      <c r="S10" s="92"/>
      <c r="T10" s="92"/>
    </row>
    <row r="11" spans="1:22" x14ac:dyDescent="0.25">
      <c r="B11" s="240" t="str">
        <f t="shared" ref="B11:I12" si="3">B111</f>
        <v>PCN Maximum Reimbursable Amount per Financial Year</v>
      </c>
      <c r="C11" s="241">
        <f t="shared" si="3"/>
        <v>0</v>
      </c>
      <c r="D11" s="241">
        <f t="shared" si="3"/>
        <v>0</v>
      </c>
      <c r="E11" s="241">
        <f t="shared" si="3"/>
        <v>0</v>
      </c>
      <c r="F11" s="241">
        <f t="shared" si="3"/>
        <v>0</v>
      </c>
      <c r="G11" s="189">
        <f t="shared" si="3"/>
        <v>0</v>
      </c>
      <c r="H11" s="189">
        <f t="shared" si="3"/>
        <v>0</v>
      </c>
      <c r="I11" s="189">
        <f t="shared" si="3"/>
        <v>0</v>
      </c>
      <c r="M11" s="92"/>
      <c r="N11" s="92"/>
      <c r="O11" s="92"/>
      <c r="P11" s="92"/>
      <c r="Q11" s="92"/>
      <c r="R11" s="92"/>
      <c r="S11" s="92"/>
      <c r="T11" s="92"/>
    </row>
    <row r="12" spans="1:22" x14ac:dyDescent="0.25">
      <c r="B12" s="240" t="str">
        <f t="shared" si="3"/>
        <v>PCN Remaining Reimbursable Amount per Financial Year</v>
      </c>
      <c r="C12" s="241">
        <f t="shared" si="3"/>
        <v>0</v>
      </c>
      <c r="D12" s="241">
        <f t="shared" si="3"/>
        <v>0</v>
      </c>
      <c r="E12" s="241">
        <f t="shared" si="3"/>
        <v>0</v>
      </c>
      <c r="F12" s="241">
        <f t="shared" si="3"/>
        <v>0</v>
      </c>
      <c r="G12" s="189">
        <f t="shared" si="3"/>
        <v>0</v>
      </c>
      <c r="H12" s="189">
        <f t="shared" si="3"/>
        <v>0</v>
      </c>
      <c r="I12" s="189">
        <f t="shared" si="3"/>
        <v>0</v>
      </c>
      <c r="M12" s="92"/>
      <c r="N12" s="92"/>
      <c r="O12" s="92"/>
      <c r="P12" s="92"/>
      <c r="Q12" s="92"/>
      <c r="R12" s="92"/>
      <c r="S12" s="92"/>
      <c r="T12" s="92"/>
    </row>
    <row r="13" spans="1:22" x14ac:dyDescent="0.25">
      <c r="B13"/>
      <c r="C13"/>
      <c r="D13"/>
      <c r="E13"/>
      <c r="F13"/>
      <c r="G13"/>
      <c r="H13"/>
      <c r="I13"/>
      <c r="M13" s="92"/>
      <c r="N13" s="92"/>
      <c r="O13" s="92"/>
      <c r="P13" s="92"/>
      <c r="Q13" s="92"/>
      <c r="R13" s="92"/>
      <c r="S13" s="92"/>
      <c r="T13" s="92"/>
    </row>
    <row r="14" spans="1:22" x14ac:dyDescent="0.25">
      <c r="A14" s="94" t="s">
        <v>227</v>
      </c>
      <c r="B14" s="255" t="s">
        <v>24</v>
      </c>
      <c r="C14" s="256"/>
      <c r="D14" s="256"/>
      <c r="E14" s="256"/>
      <c r="F14" s="256"/>
      <c r="G14" s="256"/>
      <c r="H14" s="256"/>
      <c r="I14" s="257"/>
    </row>
    <row r="15" spans="1:22" outlineLevel="1" x14ac:dyDescent="0.25">
      <c r="B15" s="247" t="s">
        <v>250</v>
      </c>
      <c r="C15" s="248"/>
      <c r="D15" s="248"/>
      <c r="E15" s="248"/>
      <c r="F15" s="248"/>
      <c r="G15" s="248"/>
      <c r="H15" s="248"/>
      <c r="I15" s="249"/>
    </row>
    <row r="16" spans="1:22" s="84" customFormat="1" ht="60" outlineLevel="1" x14ac:dyDescent="0.25">
      <c r="A16" s="124"/>
      <c r="B16" s="83" t="s">
        <v>12</v>
      </c>
      <c r="C16" s="96" t="s">
        <v>211</v>
      </c>
      <c r="D16" s="98" t="s">
        <v>216</v>
      </c>
      <c r="E16" s="33" t="s">
        <v>217</v>
      </c>
      <c r="F16" s="33" t="s">
        <v>218</v>
      </c>
      <c r="G16" s="96" t="s">
        <v>219</v>
      </c>
      <c r="H16" s="98" t="s">
        <v>3</v>
      </c>
      <c r="I16" s="33" t="s">
        <v>4</v>
      </c>
      <c r="J16" s="89"/>
      <c r="K16" s="89"/>
      <c r="L16" s="33" t="s">
        <v>62</v>
      </c>
      <c r="M16" s="33" t="s">
        <v>239</v>
      </c>
      <c r="N16" s="33" t="s">
        <v>240</v>
      </c>
    </row>
    <row r="17" spans="2:15" outlineLevel="1" x14ac:dyDescent="0.25">
      <c r="B17" s="85" t="s">
        <v>47</v>
      </c>
      <c r="C17" s="192"/>
      <c r="D17" s="198"/>
      <c r="E17" s="131"/>
      <c r="F17" s="131"/>
      <c r="G17" s="192"/>
      <c r="H17" s="198"/>
      <c r="I17" s="131"/>
      <c r="L17" s="135"/>
      <c r="M17" s="138"/>
      <c r="N17" s="136"/>
    </row>
    <row r="18" spans="2:15" outlineLevel="1" x14ac:dyDescent="0.25">
      <c r="B18" s="134" t="s">
        <v>10</v>
      </c>
      <c r="C18" s="192"/>
      <c r="D18" s="198"/>
      <c r="E18" s="131"/>
      <c r="F18" s="131"/>
      <c r="G18" s="192"/>
      <c r="H18" s="198"/>
      <c r="I18" s="131"/>
      <c r="L18" s="135"/>
      <c r="M18" s="139"/>
      <c r="N18" s="136"/>
      <c r="O18" s="234" t="s">
        <v>269</v>
      </c>
    </row>
    <row r="19" spans="2:15" outlineLevel="1" x14ac:dyDescent="0.25">
      <c r="B19" s="134" t="s">
        <v>242</v>
      </c>
      <c r="C19" s="192"/>
      <c r="D19" s="198"/>
      <c r="E19" s="131"/>
      <c r="F19" s="131"/>
      <c r="G19" s="192"/>
      <c r="H19" s="198"/>
      <c r="I19" s="131"/>
      <c r="L19" s="143" t="s">
        <v>248</v>
      </c>
      <c r="M19" s="144" t="s">
        <v>248</v>
      </c>
      <c r="N19" s="145" t="s">
        <v>248</v>
      </c>
    </row>
    <row r="20" spans="2:15" outlineLevel="1" x14ac:dyDescent="0.25">
      <c r="B20" s="134" t="s">
        <v>40</v>
      </c>
      <c r="C20" s="192"/>
      <c r="D20" s="198"/>
      <c r="E20" s="131"/>
      <c r="F20" s="131"/>
      <c r="G20" s="192"/>
      <c r="H20" s="198"/>
      <c r="I20" s="131"/>
      <c r="L20" s="135"/>
      <c r="M20" s="139"/>
      <c r="N20" s="136"/>
    </row>
    <row r="21" spans="2:15" outlineLevel="1" x14ac:dyDescent="0.25">
      <c r="B21" s="134" t="s">
        <v>243</v>
      </c>
      <c r="C21" s="192"/>
      <c r="D21" s="198"/>
      <c r="E21" s="131"/>
      <c r="F21" s="131"/>
      <c r="G21" s="192"/>
      <c r="H21" s="198"/>
      <c r="I21" s="131"/>
      <c r="L21" s="143" t="s">
        <v>248</v>
      </c>
      <c r="M21" s="144" t="s">
        <v>248</v>
      </c>
      <c r="N21" s="145" t="s">
        <v>248</v>
      </c>
    </row>
    <row r="22" spans="2:15" outlineLevel="1" x14ac:dyDescent="0.25">
      <c r="B22" s="134" t="s">
        <v>50</v>
      </c>
      <c r="C22" s="192"/>
      <c r="D22" s="198"/>
      <c r="E22" s="131"/>
      <c r="F22" s="131"/>
      <c r="G22" s="192"/>
      <c r="H22" s="198"/>
      <c r="I22" s="131"/>
      <c r="L22" s="135"/>
      <c r="M22" s="139"/>
      <c r="N22" s="136"/>
    </row>
    <row r="23" spans="2:15" outlineLevel="1" x14ac:dyDescent="0.25">
      <c r="B23" s="134" t="s">
        <v>244</v>
      </c>
      <c r="C23" s="192"/>
      <c r="D23" s="198"/>
      <c r="E23" s="131"/>
      <c r="F23" s="131"/>
      <c r="G23" s="192"/>
      <c r="H23" s="198"/>
      <c r="I23" s="131"/>
      <c r="L23" s="143" t="s">
        <v>248</v>
      </c>
      <c r="M23" s="144" t="s">
        <v>248</v>
      </c>
      <c r="N23" s="145" t="s">
        <v>248</v>
      </c>
    </row>
    <row r="24" spans="2:15" outlineLevel="1" x14ac:dyDescent="0.25">
      <c r="B24" s="134" t="s">
        <v>46</v>
      </c>
      <c r="C24" s="192"/>
      <c r="D24" s="198"/>
      <c r="E24" s="131"/>
      <c r="F24" s="131"/>
      <c r="G24" s="192"/>
      <c r="H24" s="198"/>
      <c r="I24" s="131"/>
      <c r="L24" s="135"/>
      <c r="M24" s="139"/>
      <c r="N24" s="136"/>
    </row>
    <row r="25" spans="2:15" outlineLevel="1" x14ac:dyDescent="0.25">
      <c r="B25" s="134" t="s">
        <v>245</v>
      </c>
      <c r="C25" s="192"/>
      <c r="D25" s="198"/>
      <c r="E25" s="131"/>
      <c r="F25" s="131"/>
      <c r="G25" s="192"/>
      <c r="H25" s="198"/>
      <c r="I25" s="131"/>
      <c r="L25" s="143" t="s">
        <v>248</v>
      </c>
      <c r="M25" s="144" t="s">
        <v>248</v>
      </c>
      <c r="N25" s="145" t="s">
        <v>248</v>
      </c>
    </row>
    <row r="26" spans="2:15" outlineLevel="1" x14ac:dyDescent="0.25">
      <c r="B26" s="134" t="s">
        <v>7</v>
      </c>
      <c r="C26" s="192"/>
      <c r="D26" s="198"/>
      <c r="E26" s="131"/>
      <c r="F26" s="131"/>
      <c r="G26" s="192"/>
      <c r="H26" s="198"/>
      <c r="I26" s="131"/>
      <c r="L26" s="135"/>
      <c r="M26" s="139"/>
      <c r="N26" s="136"/>
    </row>
    <row r="27" spans="2:15" outlineLevel="1" x14ac:dyDescent="0.25">
      <c r="B27" s="134" t="s">
        <v>246</v>
      </c>
      <c r="C27" s="192"/>
      <c r="D27" s="198"/>
      <c r="E27" s="131"/>
      <c r="F27" s="131"/>
      <c r="G27" s="192"/>
      <c r="H27" s="198"/>
      <c r="I27" s="131"/>
      <c r="L27" s="143" t="s">
        <v>248</v>
      </c>
      <c r="M27" s="144" t="s">
        <v>248</v>
      </c>
      <c r="N27" s="145" t="s">
        <v>248</v>
      </c>
    </row>
    <row r="28" spans="2:15" outlineLevel="1" x14ac:dyDescent="0.25">
      <c r="B28" s="134" t="s">
        <v>49</v>
      </c>
      <c r="C28" s="192"/>
      <c r="D28" s="198"/>
      <c r="E28" s="131"/>
      <c r="F28" s="131"/>
      <c r="G28" s="192"/>
      <c r="H28" s="198"/>
      <c r="I28" s="131"/>
      <c r="L28" s="135"/>
      <c r="M28" s="139"/>
      <c r="N28" s="136"/>
    </row>
    <row r="29" spans="2:15" outlineLevel="1" x14ac:dyDescent="0.25">
      <c r="B29" s="134" t="s">
        <v>247</v>
      </c>
      <c r="C29" s="192"/>
      <c r="D29" s="198"/>
      <c r="E29" s="131"/>
      <c r="F29" s="131"/>
      <c r="G29" s="192"/>
      <c r="H29" s="198"/>
      <c r="I29" s="131"/>
      <c r="L29" s="143" t="s">
        <v>248</v>
      </c>
      <c r="M29" s="144" t="s">
        <v>248</v>
      </c>
      <c r="N29" s="145" t="s">
        <v>248</v>
      </c>
    </row>
    <row r="30" spans="2:15" outlineLevel="1" x14ac:dyDescent="0.25">
      <c r="B30" s="85" t="s">
        <v>11</v>
      </c>
      <c r="C30" s="192"/>
      <c r="D30" s="198"/>
      <c r="E30" s="131"/>
      <c r="F30" s="131"/>
      <c r="G30" s="192"/>
      <c r="H30" s="198"/>
      <c r="I30" s="131"/>
      <c r="L30" s="135"/>
      <c r="M30" s="139"/>
      <c r="N30" s="136"/>
    </row>
    <row r="31" spans="2:15" outlineLevel="1" x14ac:dyDescent="0.25">
      <c r="B31" s="85" t="s">
        <v>51</v>
      </c>
      <c r="C31" s="192"/>
      <c r="D31" s="198"/>
      <c r="E31" s="131"/>
      <c r="F31" s="131"/>
      <c r="G31" s="192"/>
      <c r="H31" s="198"/>
      <c r="I31" s="131"/>
      <c r="L31" s="135"/>
      <c r="M31" s="139"/>
      <c r="N31" s="136"/>
    </row>
    <row r="32" spans="2:15" outlineLevel="1" x14ac:dyDescent="0.25">
      <c r="B32" s="85" t="s">
        <v>48</v>
      </c>
      <c r="C32" s="192"/>
      <c r="D32" s="198"/>
      <c r="E32" s="131"/>
      <c r="F32" s="131"/>
      <c r="G32" s="192"/>
      <c r="H32" s="198"/>
      <c r="I32" s="131"/>
      <c r="L32" s="135"/>
      <c r="M32" s="139"/>
      <c r="N32" s="136"/>
    </row>
    <row r="33" spans="1:21" outlineLevel="1" x14ac:dyDescent="0.25">
      <c r="B33" s="85" t="s">
        <v>27</v>
      </c>
      <c r="C33" s="192"/>
      <c r="D33" s="198"/>
      <c r="E33" s="131"/>
      <c r="F33" s="131"/>
      <c r="G33" s="192"/>
      <c r="H33" s="198"/>
      <c r="I33" s="131"/>
      <c r="L33" s="135"/>
      <c r="M33" s="139"/>
      <c r="N33" s="136"/>
    </row>
    <row r="34" spans="1:21" outlineLevel="1" x14ac:dyDescent="0.25">
      <c r="B34" s="85" t="s">
        <v>36</v>
      </c>
      <c r="C34" s="192"/>
      <c r="D34" s="198"/>
      <c r="E34" s="131"/>
      <c r="F34" s="131"/>
      <c r="G34" s="192"/>
      <c r="H34" s="198"/>
      <c r="I34" s="131"/>
      <c r="L34" s="135"/>
      <c r="M34" s="139"/>
      <c r="N34" s="136"/>
    </row>
    <row r="35" spans="1:21" ht="15.75" outlineLevel="1" thickBot="1" x14ac:dyDescent="0.3">
      <c r="B35" s="146" t="s">
        <v>38</v>
      </c>
      <c r="C35" s="193"/>
      <c r="D35" s="199"/>
      <c r="E35" s="147"/>
      <c r="F35" s="147"/>
      <c r="G35" s="193"/>
      <c r="H35" s="199"/>
      <c r="I35" s="147"/>
      <c r="L35" s="135"/>
      <c r="M35" s="139"/>
      <c r="N35" s="136"/>
    </row>
    <row r="36" spans="1:21" outlineLevel="1" x14ac:dyDescent="0.25">
      <c r="A36"/>
      <c r="B36" s="148" t="s">
        <v>254</v>
      </c>
      <c r="C36" s="216"/>
      <c r="D36" s="200"/>
      <c r="E36" s="149"/>
      <c r="F36" s="149"/>
      <c r="G36" s="194"/>
      <c r="H36" s="200"/>
      <c r="I36" s="149"/>
      <c r="L36" s="244">
        <f>J7</f>
        <v>999</v>
      </c>
      <c r="M36" s="251">
        <f>IF(J7=1,2,4)</f>
        <v>4</v>
      </c>
      <c r="N36" s="237">
        <f>IF(J7=1,3,6)</f>
        <v>6</v>
      </c>
      <c r="O36" s="242" t="s">
        <v>267</v>
      </c>
    </row>
    <row r="37" spans="1:21" outlineLevel="1" x14ac:dyDescent="0.25">
      <c r="A37"/>
      <c r="B37" s="86" t="s">
        <v>255</v>
      </c>
      <c r="C37" s="217"/>
      <c r="D37" s="198"/>
      <c r="E37" s="131"/>
      <c r="F37" s="131"/>
      <c r="G37" s="192"/>
      <c r="H37" s="198"/>
      <c r="I37" s="131"/>
      <c r="L37" s="245"/>
      <c r="M37" s="252"/>
      <c r="N37" s="238"/>
      <c r="O37" s="242"/>
    </row>
    <row r="38" spans="1:21" outlineLevel="1" x14ac:dyDescent="0.25">
      <c r="A38"/>
      <c r="B38" s="86" t="s">
        <v>256</v>
      </c>
      <c r="C38" s="217"/>
      <c r="D38" s="198"/>
      <c r="E38" s="131"/>
      <c r="F38" s="131"/>
      <c r="G38" s="192"/>
      <c r="H38" s="198"/>
      <c r="I38" s="131"/>
      <c r="L38" s="245"/>
      <c r="M38" s="252"/>
      <c r="N38" s="238"/>
      <c r="O38" s="242"/>
    </row>
    <row r="39" spans="1:21" ht="15.75" outlineLevel="1" thickBot="1" x14ac:dyDescent="0.3">
      <c r="A39"/>
      <c r="B39" s="152" t="s">
        <v>257</v>
      </c>
      <c r="C39" s="218"/>
      <c r="D39" s="201"/>
      <c r="E39" s="153"/>
      <c r="F39" s="153"/>
      <c r="G39" s="195"/>
      <c r="H39" s="201"/>
      <c r="I39" s="153"/>
      <c r="L39" s="246"/>
      <c r="M39" s="253"/>
      <c r="N39" s="239"/>
      <c r="O39" s="242"/>
    </row>
    <row r="40" spans="1:21" outlineLevel="1" x14ac:dyDescent="0.25">
      <c r="A40"/>
      <c r="B40" s="150" t="s">
        <v>258</v>
      </c>
      <c r="C40" s="219"/>
      <c r="D40" s="202"/>
      <c r="E40" s="151"/>
      <c r="F40" s="151"/>
      <c r="G40" s="196"/>
      <c r="H40" s="202"/>
      <c r="I40" s="151"/>
      <c r="L40" s="244">
        <f>J7</f>
        <v>999</v>
      </c>
      <c r="M40" s="251">
        <f>J7</f>
        <v>999</v>
      </c>
      <c r="N40" s="237">
        <f>J7</f>
        <v>999</v>
      </c>
      <c r="O40" s="243" t="s">
        <v>268</v>
      </c>
    </row>
    <row r="41" spans="1:21" outlineLevel="1" x14ac:dyDescent="0.25">
      <c r="A41"/>
      <c r="B41" s="86" t="s">
        <v>259</v>
      </c>
      <c r="C41" s="217"/>
      <c r="D41" s="198"/>
      <c r="E41" s="131"/>
      <c r="F41" s="131"/>
      <c r="G41" s="192"/>
      <c r="H41" s="198"/>
      <c r="I41" s="131"/>
      <c r="L41" s="245"/>
      <c r="M41" s="252"/>
      <c r="N41" s="238"/>
      <c r="O41" s="243"/>
    </row>
    <row r="42" spans="1:21" outlineLevel="1" x14ac:dyDescent="0.25">
      <c r="A42"/>
      <c r="B42" s="86" t="s">
        <v>260</v>
      </c>
      <c r="C42" s="217"/>
      <c r="D42" s="198"/>
      <c r="E42" s="131"/>
      <c r="F42" s="131"/>
      <c r="G42" s="192"/>
      <c r="H42" s="198"/>
      <c r="I42" s="131"/>
      <c r="L42" s="245"/>
      <c r="M42" s="252"/>
      <c r="N42" s="238"/>
      <c r="O42" s="243"/>
    </row>
    <row r="43" spans="1:21" ht="15.75" outlineLevel="1" thickBot="1" x14ac:dyDescent="0.3">
      <c r="A43"/>
      <c r="B43" s="152" t="s">
        <v>261</v>
      </c>
      <c r="C43" s="218"/>
      <c r="D43" s="201"/>
      <c r="E43" s="153"/>
      <c r="F43" s="153"/>
      <c r="G43" s="195"/>
      <c r="H43" s="201"/>
      <c r="I43" s="153"/>
      <c r="L43" s="246"/>
      <c r="M43" s="253"/>
      <c r="N43" s="239"/>
      <c r="O43" s="243"/>
    </row>
    <row r="44" spans="1:21" outlineLevel="1" x14ac:dyDescent="0.25">
      <c r="B44" s="140" t="s">
        <v>13</v>
      </c>
      <c r="C44" s="197">
        <f t="shared" ref="C44:I44" si="4">SUM(C17:C40)</f>
        <v>0</v>
      </c>
      <c r="D44" s="203">
        <f t="shared" si="4"/>
        <v>0</v>
      </c>
      <c r="E44" s="191">
        <f t="shared" si="4"/>
        <v>0</v>
      </c>
      <c r="F44" s="191">
        <f>SUM(F17:F43)</f>
        <v>0</v>
      </c>
      <c r="G44" s="197">
        <f t="shared" si="4"/>
        <v>0</v>
      </c>
      <c r="H44" s="203">
        <f t="shared" si="4"/>
        <v>0</v>
      </c>
      <c r="I44" s="191">
        <f t="shared" si="4"/>
        <v>0</v>
      </c>
      <c r="L44" s="190"/>
      <c r="M44" s="190"/>
      <c r="N44" s="190"/>
      <c r="O44" s="232"/>
      <c r="P44" s="137"/>
      <c r="Q44" s="137"/>
    </row>
    <row r="45" spans="1:21" s="229" customFormat="1" outlineLevel="1" x14ac:dyDescent="0.25">
      <c r="A45"/>
      <c r="B45" s="220" t="s">
        <v>263</v>
      </c>
      <c r="C45" s="221">
        <f>C19+C21+C23+C25+C27+C29</f>
        <v>0</v>
      </c>
      <c r="D45" s="222">
        <f t="shared" ref="D45:I45" si="5">D19+D21+D23+D25+D27+D29</f>
        <v>0</v>
      </c>
      <c r="E45" s="223">
        <f t="shared" si="5"/>
        <v>0</v>
      </c>
      <c r="F45" s="223">
        <f t="shared" si="5"/>
        <v>0</v>
      </c>
      <c r="G45" s="221">
        <f t="shared" si="5"/>
        <v>0</v>
      </c>
      <c r="H45" s="222">
        <f t="shared" si="5"/>
        <v>0</v>
      </c>
      <c r="I45" s="223">
        <f t="shared" si="5"/>
        <v>0</v>
      </c>
      <c r="J45" s="224"/>
      <c r="K45" s="224"/>
      <c r="L45" s="225">
        <f>J7</f>
        <v>999</v>
      </c>
      <c r="M45" s="226">
        <f>J7</f>
        <v>999</v>
      </c>
      <c r="N45" s="227">
        <f>J7</f>
        <v>999</v>
      </c>
      <c r="O45" s="233" t="s">
        <v>249</v>
      </c>
      <c r="P45" s="228"/>
      <c r="Q45" s="228"/>
    </row>
    <row r="46" spans="1:21" outlineLevel="1" x14ac:dyDescent="0.25">
      <c r="B46" s="87"/>
      <c r="C46" s="87"/>
      <c r="D46" s="88"/>
      <c r="E46" s="88"/>
      <c r="F46" s="88"/>
      <c r="G46" s="88"/>
      <c r="H46" s="88"/>
      <c r="I46" s="88"/>
      <c r="M46"/>
    </row>
    <row r="47" spans="1:21" x14ac:dyDescent="0.25">
      <c r="A47" s="94" t="s">
        <v>238</v>
      </c>
      <c r="B47" s="255" t="s">
        <v>41</v>
      </c>
      <c r="C47" s="256"/>
      <c r="D47" s="256"/>
      <c r="E47" s="256"/>
      <c r="F47" s="256"/>
      <c r="G47" s="256"/>
      <c r="H47" s="256"/>
      <c r="I47" s="257"/>
      <c r="O47"/>
      <c r="P47"/>
      <c r="Q47"/>
      <c r="R47"/>
      <c r="S47"/>
      <c r="T47"/>
      <c r="U47" s="90"/>
    </row>
    <row r="48" spans="1:21" outlineLevel="1" x14ac:dyDescent="0.25">
      <c r="B48" s="247" t="s">
        <v>251</v>
      </c>
      <c r="C48" s="248"/>
      <c r="D48" s="248"/>
      <c r="E48" s="248"/>
      <c r="F48" s="248"/>
      <c r="G48" s="248"/>
      <c r="H48" s="248"/>
      <c r="I48" s="249"/>
      <c r="R48"/>
      <c r="S48"/>
      <c r="T48"/>
      <c r="U48" s="90"/>
    </row>
    <row r="49" spans="2:27" ht="45" outlineLevel="1" x14ac:dyDescent="0.25">
      <c r="B49" s="83" t="s">
        <v>12</v>
      </c>
      <c r="C49" s="33" t="s">
        <v>211</v>
      </c>
      <c r="D49" s="33" t="s">
        <v>216</v>
      </c>
      <c r="E49" s="33" t="s">
        <v>217</v>
      </c>
      <c r="F49" s="33" t="s">
        <v>218</v>
      </c>
      <c r="G49" s="96" t="s">
        <v>219</v>
      </c>
      <c r="H49" s="98" t="s">
        <v>214</v>
      </c>
      <c r="I49" s="33" t="s">
        <v>215</v>
      </c>
      <c r="L49" s="130"/>
      <c r="M49"/>
      <c r="N49"/>
      <c r="O49"/>
      <c r="P49"/>
      <c r="Q49"/>
      <c r="R49"/>
      <c r="S49"/>
      <c r="T49"/>
      <c r="U49" s="90"/>
      <c r="V49" s="90"/>
      <c r="W49" s="90"/>
      <c r="X49" s="90"/>
      <c r="Y49" s="90"/>
      <c r="Z49" s="90"/>
      <c r="AA49" s="90"/>
    </row>
    <row r="50" spans="2:27" outlineLevel="1" x14ac:dyDescent="0.25">
      <c r="B50" s="95" t="str">
        <f t="shared" ref="B50:C69" si="6">B17</f>
        <v>Pharmacy Technician</v>
      </c>
      <c r="C50" s="132">
        <f t="shared" si="6"/>
        <v>0</v>
      </c>
      <c r="D50" s="132">
        <f t="shared" ref="D50:D69" si="7">C17+D17</f>
        <v>0</v>
      </c>
      <c r="E50" s="132">
        <f t="shared" ref="E50:E76" si="8">C17+D17+E17</f>
        <v>0</v>
      </c>
      <c r="F50" s="132">
        <f t="shared" ref="F50:F76" si="9">C17+D17+E17+F17</f>
        <v>0</v>
      </c>
      <c r="G50" s="204">
        <f t="shared" ref="G50:G76" si="10">C17+D17+E17+F17+G17</f>
        <v>0</v>
      </c>
      <c r="H50" s="210">
        <f t="shared" ref="H50:H76" si="11">C17+D17+E17+F17+G17+H17</f>
        <v>0</v>
      </c>
      <c r="I50" s="133">
        <f t="shared" ref="I50:I76" si="12">SUM(C17:I17)</f>
        <v>0</v>
      </c>
      <c r="U50" s="90"/>
      <c r="V50" s="90"/>
      <c r="W50" s="90"/>
      <c r="X50" s="90"/>
      <c r="Y50" s="90"/>
      <c r="Z50" s="90"/>
      <c r="AA50" s="90"/>
    </row>
    <row r="51" spans="2:27" outlineLevel="1" x14ac:dyDescent="0.25">
      <c r="B51" s="95" t="str">
        <f t="shared" si="6"/>
        <v>Clinical Pharmacist</v>
      </c>
      <c r="C51" s="132">
        <f t="shared" si="6"/>
        <v>0</v>
      </c>
      <c r="D51" s="132">
        <f t="shared" si="7"/>
        <v>0</v>
      </c>
      <c r="E51" s="132">
        <f t="shared" si="8"/>
        <v>0</v>
      </c>
      <c r="F51" s="132">
        <f t="shared" si="9"/>
        <v>0</v>
      </c>
      <c r="G51" s="204">
        <f t="shared" si="10"/>
        <v>0</v>
      </c>
      <c r="H51" s="210">
        <f t="shared" si="11"/>
        <v>0</v>
      </c>
      <c r="I51" s="133">
        <f t="shared" si="12"/>
        <v>0</v>
      </c>
    </row>
    <row r="52" spans="2:27" outlineLevel="1" x14ac:dyDescent="0.25">
      <c r="B52" s="95" t="str">
        <f t="shared" si="6"/>
        <v>**Advanced Practitioner** (Clinical Pharmacist)</v>
      </c>
      <c r="C52" s="132">
        <f t="shared" si="6"/>
        <v>0</v>
      </c>
      <c r="D52" s="132">
        <f t="shared" si="7"/>
        <v>0</v>
      </c>
      <c r="E52" s="132">
        <f t="shared" si="8"/>
        <v>0</v>
      </c>
      <c r="F52" s="132">
        <f t="shared" si="9"/>
        <v>0</v>
      </c>
      <c r="G52" s="204">
        <f t="shared" si="10"/>
        <v>0</v>
      </c>
      <c r="H52" s="210">
        <f t="shared" si="11"/>
        <v>0</v>
      </c>
      <c r="I52" s="133">
        <f t="shared" si="12"/>
        <v>0</v>
      </c>
    </row>
    <row r="53" spans="2:27" outlineLevel="1" x14ac:dyDescent="0.25">
      <c r="B53" s="95" t="str">
        <f t="shared" si="6"/>
        <v>Dietitians</v>
      </c>
      <c r="C53" s="132">
        <f t="shared" si="6"/>
        <v>0</v>
      </c>
      <c r="D53" s="132">
        <f t="shared" si="7"/>
        <v>0</v>
      </c>
      <c r="E53" s="132">
        <f t="shared" si="8"/>
        <v>0</v>
      </c>
      <c r="F53" s="132">
        <f t="shared" si="9"/>
        <v>0</v>
      </c>
      <c r="G53" s="204">
        <f t="shared" si="10"/>
        <v>0</v>
      </c>
      <c r="H53" s="210">
        <f t="shared" si="11"/>
        <v>0</v>
      </c>
      <c r="I53" s="133">
        <f t="shared" si="12"/>
        <v>0</v>
      </c>
    </row>
    <row r="54" spans="2:27" outlineLevel="1" x14ac:dyDescent="0.25">
      <c r="B54" s="95" t="str">
        <f t="shared" si="6"/>
        <v>**Advanced Practitioner** (Dietician)</v>
      </c>
      <c r="C54" s="132">
        <f t="shared" si="6"/>
        <v>0</v>
      </c>
      <c r="D54" s="132">
        <f t="shared" si="7"/>
        <v>0</v>
      </c>
      <c r="E54" s="132">
        <f t="shared" si="8"/>
        <v>0</v>
      </c>
      <c r="F54" s="132">
        <f t="shared" si="9"/>
        <v>0</v>
      </c>
      <c r="G54" s="204">
        <f t="shared" si="10"/>
        <v>0</v>
      </c>
      <c r="H54" s="210">
        <f t="shared" si="11"/>
        <v>0</v>
      </c>
      <c r="I54" s="133">
        <f t="shared" si="12"/>
        <v>0</v>
      </c>
    </row>
    <row r="55" spans="2:27" outlineLevel="1" x14ac:dyDescent="0.25">
      <c r="B55" s="95" t="str">
        <f t="shared" si="6"/>
        <v>First Contact Physiotherapist</v>
      </c>
      <c r="C55" s="132">
        <f t="shared" si="6"/>
        <v>0</v>
      </c>
      <c r="D55" s="132">
        <f t="shared" si="7"/>
        <v>0</v>
      </c>
      <c r="E55" s="132">
        <f t="shared" si="8"/>
        <v>0</v>
      </c>
      <c r="F55" s="132">
        <f t="shared" si="9"/>
        <v>0</v>
      </c>
      <c r="G55" s="204">
        <f t="shared" si="10"/>
        <v>0</v>
      </c>
      <c r="H55" s="210">
        <f t="shared" si="11"/>
        <v>0</v>
      </c>
      <c r="I55" s="133">
        <f t="shared" si="12"/>
        <v>0</v>
      </c>
    </row>
    <row r="56" spans="2:27" outlineLevel="1" x14ac:dyDescent="0.25">
      <c r="B56" s="95" t="str">
        <f t="shared" si="6"/>
        <v>**Advanced Practitioner** (First Contact Physiotherapist)</v>
      </c>
      <c r="C56" s="132">
        <f t="shared" si="6"/>
        <v>0</v>
      </c>
      <c r="D56" s="132">
        <f t="shared" si="7"/>
        <v>0</v>
      </c>
      <c r="E56" s="132">
        <f t="shared" si="8"/>
        <v>0</v>
      </c>
      <c r="F56" s="132">
        <f t="shared" si="9"/>
        <v>0</v>
      </c>
      <c r="G56" s="204">
        <f t="shared" si="10"/>
        <v>0</v>
      </c>
      <c r="H56" s="210">
        <f t="shared" si="11"/>
        <v>0</v>
      </c>
      <c r="I56" s="133">
        <f t="shared" si="12"/>
        <v>0</v>
      </c>
    </row>
    <row r="57" spans="2:27" outlineLevel="1" x14ac:dyDescent="0.25">
      <c r="B57" s="95" t="str">
        <f t="shared" si="6"/>
        <v>Occupational Therapist</v>
      </c>
      <c r="C57" s="132">
        <f t="shared" si="6"/>
        <v>0</v>
      </c>
      <c r="D57" s="132">
        <f t="shared" si="7"/>
        <v>0</v>
      </c>
      <c r="E57" s="132">
        <f t="shared" si="8"/>
        <v>0</v>
      </c>
      <c r="F57" s="132">
        <f t="shared" si="9"/>
        <v>0</v>
      </c>
      <c r="G57" s="204">
        <f t="shared" si="10"/>
        <v>0</v>
      </c>
      <c r="H57" s="210">
        <f t="shared" si="11"/>
        <v>0</v>
      </c>
      <c r="I57" s="133">
        <f t="shared" si="12"/>
        <v>0</v>
      </c>
    </row>
    <row r="58" spans="2:27" outlineLevel="1" x14ac:dyDescent="0.25">
      <c r="B58" s="95" t="str">
        <f t="shared" si="6"/>
        <v>**Advanced Practitioner** (Occupational Therapist)</v>
      </c>
      <c r="C58" s="132">
        <f t="shared" si="6"/>
        <v>0</v>
      </c>
      <c r="D58" s="132">
        <f t="shared" si="7"/>
        <v>0</v>
      </c>
      <c r="E58" s="132">
        <f t="shared" si="8"/>
        <v>0</v>
      </c>
      <c r="F58" s="132">
        <f t="shared" si="9"/>
        <v>0</v>
      </c>
      <c r="G58" s="204">
        <f t="shared" si="10"/>
        <v>0</v>
      </c>
      <c r="H58" s="210">
        <f t="shared" si="11"/>
        <v>0</v>
      </c>
      <c r="I58" s="133">
        <f t="shared" si="12"/>
        <v>0</v>
      </c>
    </row>
    <row r="59" spans="2:27" outlineLevel="1" x14ac:dyDescent="0.25">
      <c r="B59" s="95" t="str">
        <f t="shared" si="6"/>
        <v>Paramedic</v>
      </c>
      <c r="C59" s="132">
        <f t="shared" si="6"/>
        <v>0</v>
      </c>
      <c r="D59" s="132">
        <f t="shared" si="7"/>
        <v>0</v>
      </c>
      <c r="E59" s="132">
        <f t="shared" si="8"/>
        <v>0</v>
      </c>
      <c r="F59" s="132">
        <f t="shared" si="9"/>
        <v>0</v>
      </c>
      <c r="G59" s="204">
        <f t="shared" si="10"/>
        <v>0</v>
      </c>
      <c r="H59" s="210">
        <f t="shared" si="11"/>
        <v>0</v>
      </c>
      <c r="I59" s="133">
        <f t="shared" si="12"/>
        <v>0</v>
      </c>
    </row>
    <row r="60" spans="2:27" outlineLevel="1" x14ac:dyDescent="0.25">
      <c r="B60" s="95" t="str">
        <f t="shared" si="6"/>
        <v>**Advanced Practitioner** (Paramedic)</v>
      </c>
      <c r="C60" s="132">
        <f t="shared" si="6"/>
        <v>0</v>
      </c>
      <c r="D60" s="132">
        <f t="shared" si="7"/>
        <v>0</v>
      </c>
      <c r="E60" s="132">
        <f t="shared" si="8"/>
        <v>0</v>
      </c>
      <c r="F60" s="132">
        <f t="shared" si="9"/>
        <v>0</v>
      </c>
      <c r="G60" s="204">
        <f t="shared" si="10"/>
        <v>0</v>
      </c>
      <c r="H60" s="210">
        <f t="shared" si="11"/>
        <v>0</v>
      </c>
      <c r="I60" s="133">
        <f t="shared" si="12"/>
        <v>0</v>
      </c>
    </row>
    <row r="61" spans="2:27" outlineLevel="1" x14ac:dyDescent="0.25">
      <c r="B61" s="95" t="str">
        <f t="shared" si="6"/>
        <v>Podiatrist</v>
      </c>
      <c r="C61" s="132">
        <f t="shared" si="6"/>
        <v>0</v>
      </c>
      <c r="D61" s="132">
        <f t="shared" si="7"/>
        <v>0</v>
      </c>
      <c r="E61" s="132">
        <f t="shared" si="8"/>
        <v>0</v>
      </c>
      <c r="F61" s="132">
        <f t="shared" si="9"/>
        <v>0</v>
      </c>
      <c r="G61" s="204">
        <f t="shared" si="10"/>
        <v>0</v>
      </c>
      <c r="H61" s="210">
        <f t="shared" si="11"/>
        <v>0</v>
      </c>
      <c r="I61" s="133">
        <f t="shared" si="12"/>
        <v>0</v>
      </c>
    </row>
    <row r="62" spans="2:27" outlineLevel="1" x14ac:dyDescent="0.25">
      <c r="B62" s="95" t="str">
        <f t="shared" si="6"/>
        <v>**Advanced Practitioner** (Podiatrist)</v>
      </c>
      <c r="C62" s="132">
        <f t="shared" si="6"/>
        <v>0</v>
      </c>
      <c r="D62" s="132">
        <f t="shared" si="7"/>
        <v>0</v>
      </c>
      <c r="E62" s="132">
        <f t="shared" si="8"/>
        <v>0</v>
      </c>
      <c r="F62" s="132">
        <f t="shared" si="9"/>
        <v>0</v>
      </c>
      <c r="G62" s="204">
        <f t="shared" si="10"/>
        <v>0</v>
      </c>
      <c r="H62" s="210">
        <f t="shared" si="11"/>
        <v>0</v>
      </c>
      <c r="I62" s="133">
        <f t="shared" si="12"/>
        <v>0</v>
      </c>
    </row>
    <row r="63" spans="2:27" outlineLevel="1" x14ac:dyDescent="0.25">
      <c r="B63" s="95" t="str">
        <f t="shared" si="6"/>
        <v>Physician Associate</v>
      </c>
      <c r="C63" s="132">
        <f t="shared" si="6"/>
        <v>0</v>
      </c>
      <c r="D63" s="132">
        <f t="shared" si="7"/>
        <v>0</v>
      </c>
      <c r="E63" s="132">
        <f t="shared" si="8"/>
        <v>0</v>
      </c>
      <c r="F63" s="132">
        <f t="shared" si="9"/>
        <v>0</v>
      </c>
      <c r="G63" s="204">
        <f t="shared" si="10"/>
        <v>0</v>
      </c>
      <c r="H63" s="210">
        <f t="shared" si="11"/>
        <v>0</v>
      </c>
      <c r="I63" s="133">
        <f t="shared" si="12"/>
        <v>0</v>
      </c>
    </row>
    <row r="64" spans="2:27" outlineLevel="1" x14ac:dyDescent="0.25">
      <c r="B64" s="95" t="str">
        <f t="shared" si="6"/>
        <v>Care Co-ordinator</v>
      </c>
      <c r="C64" s="132">
        <f t="shared" si="6"/>
        <v>0</v>
      </c>
      <c r="D64" s="132">
        <f t="shared" si="7"/>
        <v>0</v>
      </c>
      <c r="E64" s="132">
        <f t="shared" si="8"/>
        <v>0</v>
      </c>
      <c r="F64" s="132">
        <f t="shared" si="9"/>
        <v>0</v>
      </c>
      <c r="G64" s="204">
        <f t="shared" si="10"/>
        <v>0</v>
      </c>
      <c r="H64" s="210">
        <f t="shared" si="11"/>
        <v>0</v>
      </c>
      <c r="I64" s="133">
        <f t="shared" si="12"/>
        <v>0</v>
      </c>
    </row>
    <row r="65" spans="1:9" outlineLevel="1" x14ac:dyDescent="0.25">
      <c r="B65" s="95" t="str">
        <f t="shared" si="6"/>
        <v>Health and Wellbeing Coach</v>
      </c>
      <c r="C65" s="132">
        <f t="shared" si="6"/>
        <v>0</v>
      </c>
      <c r="D65" s="132">
        <f t="shared" si="7"/>
        <v>0</v>
      </c>
      <c r="E65" s="132">
        <f t="shared" si="8"/>
        <v>0</v>
      </c>
      <c r="F65" s="132">
        <f t="shared" si="9"/>
        <v>0</v>
      </c>
      <c r="G65" s="204">
        <f t="shared" si="10"/>
        <v>0</v>
      </c>
      <c r="H65" s="210">
        <f t="shared" si="11"/>
        <v>0</v>
      </c>
      <c r="I65" s="133">
        <f t="shared" si="12"/>
        <v>0</v>
      </c>
    </row>
    <row r="66" spans="1:9" outlineLevel="1" x14ac:dyDescent="0.25">
      <c r="B66" s="95" t="str">
        <f t="shared" si="6"/>
        <v>Social Prescribing link worker</v>
      </c>
      <c r="C66" s="132">
        <f t="shared" si="6"/>
        <v>0</v>
      </c>
      <c r="D66" s="132">
        <f t="shared" si="7"/>
        <v>0</v>
      </c>
      <c r="E66" s="132">
        <f t="shared" si="8"/>
        <v>0</v>
      </c>
      <c r="F66" s="132">
        <f t="shared" si="9"/>
        <v>0</v>
      </c>
      <c r="G66" s="204">
        <f t="shared" si="10"/>
        <v>0</v>
      </c>
      <c r="H66" s="210">
        <f t="shared" si="11"/>
        <v>0</v>
      </c>
      <c r="I66" s="133">
        <f t="shared" si="12"/>
        <v>0</v>
      </c>
    </row>
    <row r="67" spans="1:9" outlineLevel="1" x14ac:dyDescent="0.25">
      <c r="B67" s="95" t="str">
        <f t="shared" si="6"/>
        <v>Nursing Associate</v>
      </c>
      <c r="C67" s="132">
        <f t="shared" si="6"/>
        <v>0</v>
      </c>
      <c r="D67" s="132">
        <f t="shared" si="7"/>
        <v>0</v>
      </c>
      <c r="E67" s="132">
        <f t="shared" si="8"/>
        <v>0</v>
      </c>
      <c r="F67" s="132">
        <f t="shared" si="9"/>
        <v>0</v>
      </c>
      <c r="G67" s="204">
        <f t="shared" si="10"/>
        <v>0</v>
      </c>
      <c r="H67" s="210">
        <f t="shared" si="11"/>
        <v>0</v>
      </c>
      <c r="I67" s="133">
        <f t="shared" si="12"/>
        <v>0</v>
      </c>
    </row>
    <row r="68" spans="1:9" ht="15.75" outlineLevel="1" thickBot="1" x14ac:dyDescent="0.3">
      <c r="B68" s="156" t="str">
        <f t="shared" si="6"/>
        <v>Trainee Nursing Associate</v>
      </c>
      <c r="C68" s="154">
        <f t="shared" si="6"/>
        <v>0</v>
      </c>
      <c r="D68" s="154">
        <f t="shared" si="7"/>
        <v>0</v>
      </c>
      <c r="E68" s="154">
        <f t="shared" si="8"/>
        <v>0</v>
      </c>
      <c r="F68" s="154">
        <f t="shared" si="9"/>
        <v>0</v>
      </c>
      <c r="G68" s="205">
        <f t="shared" si="10"/>
        <v>0</v>
      </c>
      <c r="H68" s="211">
        <f t="shared" si="11"/>
        <v>0</v>
      </c>
      <c r="I68" s="155">
        <f t="shared" si="12"/>
        <v>0</v>
      </c>
    </row>
    <row r="69" spans="1:9" outlineLevel="1" x14ac:dyDescent="0.25">
      <c r="B69" s="171" t="str">
        <f t="shared" si="6"/>
        <v>Mental Health Practitioner (50% reimbursement) Band 5</v>
      </c>
      <c r="C69" s="172">
        <f t="shared" si="6"/>
        <v>0</v>
      </c>
      <c r="D69" s="172">
        <f t="shared" si="7"/>
        <v>0</v>
      </c>
      <c r="E69" s="172">
        <f t="shared" si="8"/>
        <v>0</v>
      </c>
      <c r="F69" s="172">
        <f t="shared" si="9"/>
        <v>0</v>
      </c>
      <c r="G69" s="206">
        <f t="shared" si="10"/>
        <v>0</v>
      </c>
      <c r="H69" s="212">
        <f t="shared" si="11"/>
        <v>0</v>
      </c>
      <c r="I69" s="173">
        <f t="shared" si="12"/>
        <v>0</v>
      </c>
    </row>
    <row r="70" spans="1:9" outlineLevel="1" x14ac:dyDescent="0.25">
      <c r="B70" s="95" t="str">
        <f t="shared" ref="B70:C72" si="13">B37</f>
        <v>Mental Health Practitioner (50% reimbursement) Band 6</v>
      </c>
      <c r="C70" s="132">
        <f t="shared" si="13"/>
        <v>0</v>
      </c>
      <c r="D70" s="132">
        <f t="shared" ref="D70:D76" si="14">C37+D37</f>
        <v>0</v>
      </c>
      <c r="E70" s="132">
        <f t="shared" si="8"/>
        <v>0</v>
      </c>
      <c r="F70" s="132">
        <f t="shared" si="9"/>
        <v>0</v>
      </c>
      <c r="G70" s="204">
        <f t="shared" si="10"/>
        <v>0</v>
      </c>
      <c r="H70" s="210">
        <f t="shared" si="11"/>
        <v>0</v>
      </c>
      <c r="I70" s="133">
        <f t="shared" si="12"/>
        <v>0</v>
      </c>
    </row>
    <row r="71" spans="1:9" outlineLevel="1" x14ac:dyDescent="0.25">
      <c r="B71" s="95" t="str">
        <f t="shared" si="13"/>
        <v>Mental Health Practitioner (50% reimbursement) Band 7</v>
      </c>
      <c r="C71" s="132">
        <f t="shared" si="13"/>
        <v>0</v>
      </c>
      <c r="D71" s="132">
        <f t="shared" si="14"/>
        <v>0</v>
      </c>
      <c r="E71" s="132">
        <f t="shared" si="8"/>
        <v>0</v>
      </c>
      <c r="F71" s="132">
        <f t="shared" si="9"/>
        <v>0</v>
      </c>
      <c r="G71" s="204">
        <f t="shared" si="10"/>
        <v>0</v>
      </c>
      <c r="H71" s="210">
        <f t="shared" si="11"/>
        <v>0</v>
      </c>
      <c r="I71" s="133">
        <f t="shared" si="12"/>
        <v>0</v>
      </c>
    </row>
    <row r="72" spans="1:9" ht="14.25" customHeight="1" outlineLevel="1" thickBot="1" x14ac:dyDescent="0.3">
      <c r="B72" s="174" t="str">
        <f t="shared" si="13"/>
        <v>Mental Health Practitioner (50% reimbursement) Band 8a</v>
      </c>
      <c r="C72" s="175">
        <f t="shared" si="13"/>
        <v>0</v>
      </c>
      <c r="D72" s="175">
        <f t="shared" si="14"/>
        <v>0</v>
      </c>
      <c r="E72" s="175">
        <f t="shared" si="8"/>
        <v>0</v>
      </c>
      <c r="F72" s="175">
        <f t="shared" si="9"/>
        <v>0</v>
      </c>
      <c r="G72" s="207">
        <f t="shared" si="10"/>
        <v>0</v>
      </c>
      <c r="H72" s="213">
        <f t="shared" si="11"/>
        <v>0</v>
      </c>
      <c r="I72" s="176">
        <f t="shared" si="12"/>
        <v>0</v>
      </c>
    </row>
    <row r="73" spans="1:9" outlineLevel="1" x14ac:dyDescent="0.25">
      <c r="B73" s="168" t="str">
        <f>B40</f>
        <v>Children and Young Persons Mental Health Practitioner (50% Reimbursement) Band 5</v>
      </c>
      <c r="C73" s="169">
        <f t="shared" ref="C73:C76" si="15">C40</f>
        <v>0</v>
      </c>
      <c r="D73" s="169">
        <f t="shared" si="14"/>
        <v>0</v>
      </c>
      <c r="E73" s="169">
        <f t="shared" si="8"/>
        <v>0</v>
      </c>
      <c r="F73" s="169">
        <f t="shared" si="9"/>
        <v>0</v>
      </c>
      <c r="G73" s="208">
        <f t="shared" si="10"/>
        <v>0</v>
      </c>
      <c r="H73" s="214">
        <f t="shared" si="11"/>
        <v>0</v>
      </c>
      <c r="I73" s="170">
        <f t="shared" si="12"/>
        <v>0</v>
      </c>
    </row>
    <row r="74" spans="1:9" outlineLevel="1" x14ac:dyDescent="0.25">
      <c r="B74" s="95" t="str">
        <f t="shared" ref="B74:B76" si="16">B41</f>
        <v>Children and Young Persons Mental Health Practitioner (50% Reimbursement) Band 6</v>
      </c>
      <c r="C74" s="132">
        <f t="shared" si="15"/>
        <v>0</v>
      </c>
      <c r="D74" s="132">
        <f t="shared" si="14"/>
        <v>0</v>
      </c>
      <c r="E74" s="132">
        <f t="shared" si="8"/>
        <v>0</v>
      </c>
      <c r="F74" s="132">
        <f t="shared" si="9"/>
        <v>0</v>
      </c>
      <c r="G74" s="204">
        <f t="shared" si="10"/>
        <v>0</v>
      </c>
      <c r="H74" s="210">
        <f t="shared" si="11"/>
        <v>0</v>
      </c>
      <c r="I74" s="133">
        <f t="shared" si="12"/>
        <v>0</v>
      </c>
    </row>
    <row r="75" spans="1:9" outlineLevel="1" x14ac:dyDescent="0.25">
      <c r="B75" s="95" t="str">
        <f t="shared" si="16"/>
        <v>Children and Young Persons Mental Health Practitioner (50% Reimbursement) Band 7</v>
      </c>
      <c r="C75" s="132">
        <f t="shared" si="15"/>
        <v>0</v>
      </c>
      <c r="D75" s="132">
        <f t="shared" si="14"/>
        <v>0</v>
      </c>
      <c r="E75" s="132">
        <f t="shared" si="8"/>
        <v>0</v>
      </c>
      <c r="F75" s="132">
        <f t="shared" si="9"/>
        <v>0</v>
      </c>
      <c r="G75" s="204">
        <f t="shared" si="10"/>
        <v>0</v>
      </c>
      <c r="H75" s="210">
        <f t="shared" si="11"/>
        <v>0</v>
      </c>
      <c r="I75" s="133">
        <f t="shared" si="12"/>
        <v>0</v>
      </c>
    </row>
    <row r="76" spans="1:9" ht="15.75" outlineLevel="1" thickBot="1" x14ac:dyDescent="0.3">
      <c r="B76" s="156" t="str">
        <f t="shared" si="16"/>
        <v>Children and Young Persons Mental Health Practitioner (50% Reimbursement) Band 8a</v>
      </c>
      <c r="C76" s="154">
        <f t="shared" si="15"/>
        <v>0</v>
      </c>
      <c r="D76" s="154">
        <f t="shared" si="14"/>
        <v>0</v>
      </c>
      <c r="E76" s="154">
        <f t="shared" si="8"/>
        <v>0</v>
      </c>
      <c r="F76" s="154">
        <f t="shared" si="9"/>
        <v>0</v>
      </c>
      <c r="G76" s="205">
        <f t="shared" si="10"/>
        <v>0</v>
      </c>
      <c r="H76" s="211">
        <f t="shared" si="11"/>
        <v>0</v>
      </c>
      <c r="I76" s="155">
        <f t="shared" si="12"/>
        <v>0</v>
      </c>
    </row>
    <row r="77" spans="1:9" outlineLevel="1" x14ac:dyDescent="0.25">
      <c r="B77" s="161" t="s">
        <v>13</v>
      </c>
      <c r="C77" s="164">
        <f>SUM(C50:C76)</f>
        <v>0</v>
      </c>
      <c r="D77" s="164">
        <f t="shared" ref="D77:I77" si="17">SUM(D50:D76)</f>
        <v>0</v>
      </c>
      <c r="E77" s="164">
        <f t="shared" si="17"/>
        <v>0</v>
      </c>
      <c r="F77" s="164">
        <f t="shared" si="17"/>
        <v>0</v>
      </c>
      <c r="G77" s="209">
        <f t="shared" si="17"/>
        <v>0</v>
      </c>
      <c r="H77" s="215">
        <f t="shared" si="17"/>
        <v>0</v>
      </c>
      <c r="I77" s="164">
        <f t="shared" si="17"/>
        <v>0</v>
      </c>
    </row>
    <row r="78" spans="1:9" outlineLevel="1" x14ac:dyDescent="0.25"/>
    <row r="79" spans="1:9" customFormat="1" outlineLevel="1" x14ac:dyDescent="0.25">
      <c r="B79" s="250" t="s">
        <v>252</v>
      </c>
      <c r="C79" s="250"/>
      <c r="D79" s="250"/>
      <c r="E79" s="250"/>
      <c r="F79" s="250"/>
      <c r="G79" s="250"/>
      <c r="H79" s="250"/>
      <c r="I79" s="250"/>
    </row>
    <row r="80" spans="1:9" x14ac:dyDescent="0.25">
      <c r="A80" s="94" t="s">
        <v>226</v>
      </c>
      <c r="B80" s="255" t="s">
        <v>212</v>
      </c>
      <c r="C80" s="256"/>
      <c r="D80" s="256"/>
      <c r="E80" s="256"/>
      <c r="F80" s="256"/>
      <c r="G80" s="256"/>
      <c r="H80" s="256"/>
      <c r="I80" s="257"/>
    </row>
    <row r="81" spans="2:9" ht="45" x14ac:dyDescent="0.25">
      <c r="B81" s="83" t="s">
        <v>12</v>
      </c>
      <c r="C81" s="33" t="s">
        <v>216</v>
      </c>
      <c r="D81" s="33" t="s">
        <v>217</v>
      </c>
      <c r="E81" s="33" t="s">
        <v>218</v>
      </c>
      <c r="F81" s="96" t="s">
        <v>219</v>
      </c>
      <c r="G81" s="98" t="s">
        <v>220</v>
      </c>
      <c r="H81" s="33" t="s">
        <v>214</v>
      </c>
      <c r="I81" s="33" t="s">
        <v>215</v>
      </c>
    </row>
    <row r="82" spans="2:9" x14ac:dyDescent="0.25">
      <c r="B82" s="95" t="str">
        <f t="shared" ref="B82:B101" si="18">B17</f>
        <v>Pharmacy Technician</v>
      </c>
      <c r="C82" s="100">
        <f>(D50*'Max Reimbursement Rates'!$D11)/4</f>
        <v>0</v>
      </c>
      <c r="D82" s="100">
        <f>(E50*'Max Reimbursement Rates'!$D11)/4</f>
        <v>0</v>
      </c>
      <c r="E82" s="100">
        <f>(F50*'Max Reimbursement Rates'!$E11)/4</f>
        <v>0</v>
      </c>
      <c r="F82" s="97">
        <f>(G50*'Max Reimbursement Rates'!$E11)/4</f>
        <v>0</v>
      </c>
      <c r="G82" s="99">
        <f>SUM(C82:F82)</f>
        <v>0</v>
      </c>
      <c r="H82" s="100">
        <f>H50*'Max Reimbursement Rates'!F11</f>
        <v>0</v>
      </c>
      <c r="I82" s="101">
        <f>I50*'Max Reimbursement Rates'!G11</f>
        <v>0</v>
      </c>
    </row>
    <row r="83" spans="2:9" x14ac:dyDescent="0.25">
      <c r="B83" s="95" t="str">
        <f t="shared" si="18"/>
        <v>Clinical Pharmacist</v>
      </c>
      <c r="C83" s="100">
        <f>(D51*'Max Reimbursement Rates'!$D12)/4</f>
        <v>0</v>
      </c>
      <c r="D83" s="100">
        <f>(E51*'Max Reimbursement Rates'!$D12)/4</f>
        <v>0</v>
      </c>
      <c r="E83" s="100">
        <f>(F51*'Max Reimbursement Rates'!$E12)/4</f>
        <v>0</v>
      </c>
      <c r="F83" s="97">
        <f>(G51*'Max Reimbursement Rates'!$E12)/4</f>
        <v>0</v>
      </c>
      <c r="G83" s="99">
        <f t="shared" ref="G83:G108" si="19">SUM(C83:F83)</f>
        <v>0</v>
      </c>
      <c r="H83" s="100">
        <f>H51*'Max Reimbursement Rates'!F12</f>
        <v>0</v>
      </c>
      <c r="I83" s="101">
        <f>I51*'Max Reimbursement Rates'!G12</f>
        <v>0</v>
      </c>
    </row>
    <row r="84" spans="2:9" x14ac:dyDescent="0.25">
      <c r="B84" s="95" t="str">
        <f t="shared" si="18"/>
        <v>**Advanced Practitioner** (Clinical Pharmacist)</v>
      </c>
      <c r="C84" s="100">
        <f>(D52*'Max Reimbursement Rates'!$D13)/4</f>
        <v>0</v>
      </c>
      <c r="D84" s="100">
        <f>(E52*'Max Reimbursement Rates'!$D13)/4</f>
        <v>0</v>
      </c>
      <c r="E84" s="100">
        <f>(F52*'Max Reimbursement Rates'!$E13)/4</f>
        <v>0</v>
      </c>
      <c r="F84" s="97">
        <f>(G52*'Max Reimbursement Rates'!$E13)/4</f>
        <v>0</v>
      </c>
      <c r="G84" s="99">
        <f t="shared" si="19"/>
        <v>0</v>
      </c>
      <c r="H84" s="100">
        <f>H52*'Max Reimbursement Rates'!F13</f>
        <v>0</v>
      </c>
      <c r="I84" s="101">
        <f>I52*'Max Reimbursement Rates'!G13</f>
        <v>0</v>
      </c>
    </row>
    <row r="85" spans="2:9" x14ac:dyDescent="0.25">
      <c r="B85" s="95" t="str">
        <f t="shared" si="18"/>
        <v>Dietitians</v>
      </c>
      <c r="C85" s="100">
        <f>(D53*'Max Reimbursement Rates'!$D14)/4</f>
        <v>0</v>
      </c>
      <c r="D85" s="100">
        <f>(E53*'Max Reimbursement Rates'!$D14)/4</f>
        <v>0</v>
      </c>
      <c r="E85" s="100">
        <f>(F53*'Max Reimbursement Rates'!$E14)/4</f>
        <v>0</v>
      </c>
      <c r="F85" s="97">
        <f>(G53*'Max Reimbursement Rates'!$E14)/4</f>
        <v>0</v>
      </c>
      <c r="G85" s="99">
        <f t="shared" si="19"/>
        <v>0</v>
      </c>
      <c r="H85" s="100">
        <f>H53*'Max Reimbursement Rates'!F14</f>
        <v>0</v>
      </c>
      <c r="I85" s="101">
        <f>I53*'Max Reimbursement Rates'!G14</f>
        <v>0</v>
      </c>
    </row>
    <row r="86" spans="2:9" x14ac:dyDescent="0.25">
      <c r="B86" s="95" t="str">
        <f t="shared" si="18"/>
        <v>**Advanced Practitioner** (Dietician)</v>
      </c>
      <c r="C86" s="100">
        <f>(D54*'Max Reimbursement Rates'!$D15)/4</f>
        <v>0</v>
      </c>
      <c r="D86" s="100">
        <f>(E54*'Max Reimbursement Rates'!$D15)/4</f>
        <v>0</v>
      </c>
      <c r="E86" s="100">
        <f>(F54*'Max Reimbursement Rates'!$E15)/4</f>
        <v>0</v>
      </c>
      <c r="F86" s="97">
        <f>(G54*'Max Reimbursement Rates'!$E15)/4</f>
        <v>0</v>
      </c>
      <c r="G86" s="99">
        <f t="shared" si="19"/>
        <v>0</v>
      </c>
      <c r="H86" s="100">
        <f>H54*'Max Reimbursement Rates'!F15</f>
        <v>0</v>
      </c>
      <c r="I86" s="101">
        <f>I54*'Max Reimbursement Rates'!G15</f>
        <v>0</v>
      </c>
    </row>
    <row r="87" spans="2:9" x14ac:dyDescent="0.25">
      <c r="B87" s="95" t="str">
        <f t="shared" si="18"/>
        <v>First Contact Physiotherapist</v>
      </c>
      <c r="C87" s="100">
        <f>(D55*'Max Reimbursement Rates'!$D16)/4</f>
        <v>0</v>
      </c>
      <c r="D87" s="100">
        <f>(E55*'Max Reimbursement Rates'!$D16)/4</f>
        <v>0</v>
      </c>
      <c r="E87" s="100">
        <f>(F55*'Max Reimbursement Rates'!$E16)/4</f>
        <v>0</v>
      </c>
      <c r="F87" s="97">
        <f>(G55*'Max Reimbursement Rates'!$E16)/4</f>
        <v>0</v>
      </c>
      <c r="G87" s="99">
        <f t="shared" si="19"/>
        <v>0</v>
      </c>
      <c r="H87" s="100">
        <f>H55*'Max Reimbursement Rates'!F16</f>
        <v>0</v>
      </c>
      <c r="I87" s="101">
        <f>I55*'Max Reimbursement Rates'!G16</f>
        <v>0</v>
      </c>
    </row>
    <row r="88" spans="2:9" x14ac:dyDescent="0.25">
      <c r="B88" s="95" t="str">
        <f t="shared" si="18"/>
        <v>**Advanced Practitioner** (First Contact Physiotherapist)</v>
      </c>
      <c r="C88" s="100">
        <f>(D56*'Max Reimbursement Rates'!$D17)/4</f>
        <v>0</v>
      </c>
      <c r="D88" s="100">
        <f>(E56*'Max Reimbursement Rates'!$D17)/4</f>
        <v>0</v>
      </c>
      <c r="E88" s="100">
        <f>(F56*'Max Reimbursement Rates'!$E17)/4</f>
        <v>0</v>
      </c>
      <c r="F88" s="97">
        <f>(G56*'Max Reimbursement Rates'!$E17)/4</f>
        <v>0</v>
      </c>
      <c r="G88" s="99">
        <f t="shared" si="19"/>
        <v>0</v>
      </c>
      <c r="H88" s="100">
        <f>H56*'Max Reimbursement Rates'!F17</f>
        <v>0</v>
      </c>
      <c r="I88" s="101">
        <f>I56*'Max Reimbursement Rates'!G17</f>
        <v>0</v>
      </c>
    </row>
    <row r="89" spans="2:9" x14ac:dyDescent="0.25">
      <c r="B89" s="95" t="str">
        <f t="shared" si="18"/>
        <v>Occupational Therapist</v>
      </c>
      <c r="C89" s="100">
        <f>(D57*'Max Reimbursement Rates'!$D18)/4</f>
        <v>0</v>
      </c>
      <c r="D89" s="100">
        <f>(E57*'Max Reimbursement Rates'!$D18)/4</f>
        <v>0</v>
      </c>
      <c r="E89" s="100">
        <f>(F57*'Max Reimbursement Rates'!$E18)/4</f>
        <v>0</v>
      </c>
      <c r="F89" s="97">
        <f>(G57*'Max Reimbursement Rates'!$E18)/4</f>
        <v>0</v>
      </c>
      <c r="G89" s="99">
        <f t="shared" si="19"/>
        <v>0</v>
      </c>
      <c r="H89" s="100">
        <f>H57*'Max Reimbursement Rates'!F18</f>
        <v>0</v>
      </c>
      <c r="I89" s="101">
        <f>I57*'Max Reimbursement Rates'!G18</f>
        <v>0</v>
      </c>
    </row>
    <row r="90" spans="2:9" x14ac:dyDescent="0.25">
      <c r="B90" s="95" t="str">
        <f t="shared" si="18"/>
        <v>**Advanced Practitioner** (Occupational Therapist)</v>
      </c>
      <c r="C90" s="100">
        <f>(D58*'Max Reimbursement Rates'!$D19)/4</f>
        <v>0</v>
      </c>
      <c r="D90" s="100">
        <f>(E58*'Max Reimbursement Rates'!$D19)/4</f>
        <v>0</v>
      </c>
      <c r="E90" s="100">
        <f>(F58*'Max Reimbursement Rates'!$E19)/4</f>
        <v>0</v>
      </c>
      <c r="F90" s="97">
        <f>(G58*'Max Reimbursement Rates'!$E19)/4</f>
        <v>0</v>
      </c>
      <c r="G90" s="99">
        <f t="shared" si="19"/>
        <v>0</v>
      </c>
      <c r="H90" s="100">
        <f>H58*'Max Reimbursement Rates'!F19</f>
        <v>0</v>
      </c>
      <c r="I90" s="101">
        <f>I58*'Max Reimbursement Rates'!G19</f>
        <v>0</v>
      </c>
    </row>
    <row r="91" spans="2:9" x14ac:dyDescent="0.25">
      <c r="B91" s="95" t="str">
        <f t="shared" si="18"/>
        <v>Paramedic</v>
      </c>
      <c r="C91" s="100">
        <f>(D59*'Max Reimbursement Rates'!$D20)/4</f>
        <v>0</v>
      </c>
      <c r="D91" s="100">
        <f>(E59*'Max Reimbursement Rates'!$D20)/4</f>
        <v>0</v>
      </c>
      <c r="E91" s="100">
        <f>(F59*'Max Reimbursement Rates'!$E20)/4</f>
        <v>0</v>
      </c>
      <c r="F91" s="97">
        <f>(G59*'Max Reimbursement Rates'!$E20)/4</f>
        <v>0</v>
      </c>
      <c r="G91" s="99">
        <f t="shared" si="19"/>
        <v>0</v>
      </c>
      <c r="H91" s="100">
        <f>H59*'Max Reimbursement Rates'!F20</f>
        <v>0</v>
      </c>
      <c r="I91" s="101">
        <f>I59*'Max Reimbursement Rates'!G20</f>
        <v>0</v>
      </c>
    </row>
    <row r="92" spans="2:9" x14ac:dyDescent="0.25">
      <c r="B92" s="95" t="str">
        <f t="shared" si="18"/>
        <v>**Advanced Practitioner** (Paramedic)</v>
      </c>
      <c r="C92" s="100">
        <f>(D60*'Max Reimbursement Rates'!$D21)/4</f>
        <v>0</v>
      </c>
      <c r="D92" s="100">
        <f>(E60*'Max Reimbursement Rates'!$D21)/4</f>
        <v>0</v>
      </c>
      <c r="E92" s="100">
        <f>(F60*'Max Reimbursement Rates'!$E21)/4</f>
        <v>0</v>
      </c>
      <c r="F92" s="97">
        <f>(G60*'Max Reimbursement Rates'!$E21)/4</f>
        <v>0</v>
      </c>
      <c r="G92" s="99">
        <f t="shared" si="19"/>
        <v>0</v>
      </c>
      <c r="H92" s="100">
        <f>H60*'Max Reimbursement Rates'!F21</f>
        <v>0</v>
      </c>
      <c r="I92" s="101">
        <f>I60*'Max Reimbursement Rates'!G21</f>
        <v>0</v>
      </c>
    </row>
    <row r="93" spans="2:9" x14ac:dyDescent="0.25">
      <c r="B93" s="95" t="str">
        <f t="shared" si="18"/>
        <v>Podiatrist</v>
      </c>
      <c r="C93" s="100">
        <f>(D61*'Max Reimbursement Rates'!$D22)/4</f>
        <v>0</v>
      </c>
      <c r="D93" s="100">
        <f>(E61*'Max Reimbursement Rates'!$D22)/4</f>
        <v>0</v>
      </c>
      <c r="E93" s="100">
        <f>(F61*'Max Reimbursement Rates'!$E22)/4</f>
        <v>0</v>
      </c>
      <c r="F93" s="97">
        <f>(G61*'Max Reimbursement Rates'!$E22)/4</f>
        <v>0</v>
      </c>
      <c r="G93" s="99">
        <f t="shared" si="19"/>
        <v>0</v>
      </c>
      <c r="H93" s="100">
        <f>H61*'Max Reimbursement Rates'!F22</f>
        <v>0</v>
      </c>
      <c r="I93" s="101">
        <f>I61*'Max Reimbursement Rates'!G22</f>
        <v>0</v>
      </c>
    </row>
    <row r="94" spans="2:9" x14ac:dyDescent="0.25">
      <c r="B94" s="95" t="str">
        <f t="shared" si="18"/>
        <v>**Advanced Practitioner** (Podiatrist)</v>
      </c>
      <c r="C94" s="100">
        <f>(D62*'Max Reimbursement Rates'!$D23)/4</f>
        <v>0</v>
      </c>
      <c r="D94" s="100">
        <f>(E62*'Max Reimbursement Rates'!$D23)/4</f>
        <v>0</v>
      </c>
      <c r="E94" s="100">
        <f>(F62*'Max Reimbursement Rates'!$E23)/4</f>
        <v>0</v>
      </c>
      <c r="F94" s="97">
        <f>(G62*'Max Reimbursement Rates'!$E23)/4</f>
        <v>0</v>
      </c>
      <c r="G94" s="99">
        <f t="shared" si="19"/>
        <v>0</v>
      </c>
      <c r="H94" s="100">
        <f>H62*'Max Reimbursement Rates'!F23</f>
        <v>0</v>
      </c>
      <c r="I94" s="101">
        <f>I62*'Max Reimbursement Rates'!G23</f>
        <v>0</v>
      </c>
    </row>
    <row r="95" spans="2:9" x14ac:dyDescent="0.25">
      <c r="B95" s="95" t="str">
        <f t="shared" si="18"/>
        <v>Physician Associate</v>
      </c>
      <c r="C95" s="100">
        <f>(D63*'Max Reimbursement Rates'!$D24)/4</f>
        <v>0</v>
      </c>
      <c r="D95" s="100">
        <f>(E63*'Max Reimbursement Rates'!$D24)/4</f>
        <v>0</v>
      </c>
      <c r="E95" s="100">
        <f>(F63*'Max Reimbursement Rates'!$E24)/4</f>
        <v>0</v>
      </c>
      <c r="F95" s="97">
        <f>(G63*'Max Reimbursement Rates'!$E24)/4</f>
        <v>0</v>
      </c>
      <c r="G95" s="99">
        <f t="shared" si="19"/>
        <v>0</v>
      </c>
      <c r="H95" s="100">
        <f>H63*'Max Reimbursement Rates'!F24</f>
        <v>0</v>
      </c>
      <c r="I95" s="101">
        <f>I63*'Max Reimbursement Rates'!G24</f>
        <v>0</v>
      </c>
    </row>
    <row r="96" spans="2:9" x14ac:dyDescent="0.25">
      <c r="B96" s="95" t="str">
        <f t="shared" si="18"/>
        <v>Care Co-ordinator</v>
      </c>
      <c r="C96" s="100">
        <f>(D64*'Max Reimbursement Rates'!$D25)/4</f>
        <v>0</v>
      </c>
      <c r="D96" s="100">
        <f>(E64*'Max Reimbursement Rates'!$D25)/4</f>
        <v>0</v>
      </c>
      <c r="E96" s="100">
        <f>(F64*'Max Reimbursement Rates'!$E25)/4</f>
        <v>0</v>
      </c>
      <c r="F96" s="97">
        <f>(G64*'Max Reimbursement Rates'!$E25)/4</f>
        <v>0</v>
      </c>
      <c r="G96" s="99">
        <f t="shared" si="19"/>
        <v>0</v>
      </c>
      <c r="H96" s="100">
        <f>H64*'Max Reimbursement Rates'!F25</f>
        <v>0</v>
      </c>
      <c r="I96" s="101">
        <f>I64*'Max Reimbursement Rates'!G25</f>
        <v>0</v>
      </c>
    </row>
    <row r="97" spans="2:9" x14ac:dyDescent="0.25">
      <c r="B97" s="95" t="str">
        <f t="shared" si="18"/>
        <v>Health and Wellbeing Coach</v>
      </c>
      <c r="C97" s="100">
        <f>(D65*'Max Reimbursement Rates'!$D26)/4</f>
        <v>0</v>
      </c>
      <c r="D97" s="100">
        <f>(E65*'Max Reimbursement Rates'!$D26)/4</f>
        <v>0</v>
      </c>
      <c r="E97" s="100">
        <f>(F65*'Max Reimbursement Rates'!$E26)/4</f>
        <v>0</v>
      </c>
      <c r="F97" s="97">
        <f>(G65*'Max Reimbursement Rates'!$E26)/4</f>
        <v>0</v>
      </c>
      <c r="G97" s="99">
        <f t="shared" si="19"/>
        <v>0</v>
      </c>
      <c r="H97" s="100">
        <f>H65*'Max Reimbursement Rates'!F26</f>
        <v>0</v>
      </c>
      <c r="I97" s="101">
        <f>I65*'Max Reimbursement Rates'!G26</f>
        <v>0</v>
      </c>
    </row>
    <row r="98" spans="2:9" x14ac:dyDescent="0.25">
      <c r="B98" s="95" t="str">
        <f t="shared" si="18"/>
        <v>Social Prescribing link worker</v>
      </c>
      <c r="C98" s="100">
        <f>(D66*'Max Reimbursement Rates'!$D27)/4</f>
        <v>0</v>
      </c>
      <c r="D98" s="100">
        <f>(E66*'Max Reimbursement Rates'!$D27)/4</f>
        <v>0</v>
      </c>
      <c r="E98" s="100">
        <f>(F66*'Max Reimbursement Rates'!$E27)/4</f>
        <v>0</v>
      </c>
      <c r="F98" s="97">
        <f>(G66*'Max Reimbursement Rates'!$E27)/4</f>
        <v>0</v>
      </c>
      <c r="G98" s="99">
        <f t="shared" si="19"/>
        <v>0</v>
      </c>
      <c r="H98" s="100">
        <f>H66*'Max Reimbursement Rates'!F27</f>
        <v>0</v>
      </c>
      <c r="I98" s="101">
        <f>I66*'Max Reimbursement Rates'!G27</f>
        <v>0</v>
      </c>
    </row>
    <row r="99" spans="2:9" x14ac:dyDescent="0.25">
      <c r="B99" s="95" t="str">
        <f t="shared" si="18"/>
        <v>Nursing Associate</v>
      </c>
      <c r="C99" s="100">
        <f>(D67*'Max Reimbursement Rates'!$D28)/4</f>
        <v>0</v>
      </c>
      <c r="D99" s="100">
        <f>(E67*'Max Reimbursement Rates'!$D28)/4</f>
        <v>0</v>
      </c>
      <c r="E99" s="100">
        <f>(F67*'Max Reimbursement Rates'!$E28)/4</f>
        <v>0</v>
      </c>
      <c r="F99" s="97">
        <f>(G67*'Max Reimbursement Rates'!$E28)/4</f>
        <v>0</v>
      </c>
      <c r="G99" s="99">
        <f t="shared" si="19"/>
        <v>0</v>
      </c>
      <c r="H99" s="100">
        <f>H67*'Max Reimbursement Rates'!F28</f>
        <v>0</v>
      </c>
      <c r="I99" s="101">
        <f>I67*'Max Reimbursement Rates'!G28</f>
        <v>0</v>
      </c>
    </row>
    <row r="100" spans="2:9" ht="15.75" thickBot="1" x14ac:dyDescent="0.3">
      <c r="B100" s="156" t="str">
        <f t="shared" si="18"/>
        <v>Trainee Nursing Associate</v>
      </c>
      <c r="C100" s="157">
        <f>(D68*'Max Reimbursement Rates'!$D29)/4</f>
        <v>0</v>
      </c>
      <c r="D100" s="157">
        <f>(E68*'Max Reimbursement Rates'!$D29)/4</f>
        <v>0</v>
      </c>
      <c r="E100" s="157">
        <f>(F68*'Max Reimbursement Rates'!$E29)/4</f>
        <v>0</v>
      </c>
      <c r="F100" s="157">
        <f>(G68*'Max Reimbursement Rates'!$E29)/4</f>
        <v>0</v>
      </c>
      <c r="G100" s="159">
        <f t="shared" si="19"/>
        <v>0</v>
      </c>
      <c r="H100" s="157">
        <f>H68*'Max Reimbursement Rates'!F29</f>
        <v>0</v>
      </c>
      <c r="I100" s="160">
        <f>I68*'Max Reimbursement Rates'!G29</f>
        <v>0</v>
      </c>
    </row>
    <row r="101" spans="2:9" x14ac:dyDescent="0.25">
      <c r="B101" s="171" t="str">
        <f t="shared" si="18"/>
        <v>Mental Health Practitioner (50% reimbursement) Band 5</v>
      </c>
      <c r="C101" s="178">
        <f>(D69*'Max Reimbursement Rates'!$D30)/4</f>
        <v>0</v>
      </c>
      <c r="D101" s="178">
        <f>(E69*'Max Reimbursement Rates'!$D30)/4</f>
        <v>0</v>
      </c>
      <c r="E101" s="292">
        <f>(F69*'Max Reimbursement Rates'!$E30)/4</f>
        <v>0</v>
      </c>
      <c r="F101" s="293">
        <f>(G69*'Max Reimbursement Rates'!$E30)/4</f>
        <v>0</v>
      </c>
      <c r="G101" s="179">
        <f t="shared" si="19"/>
        <v>0</v>
      </c>
      <c r="H101" s="178">
        <f>H69*'Max Reimbursement Rates'!F30</f>
        <v>0</v>
      </c>
      <c r="I101" s="180">
        <f>I69*'Max Reimbursement Rates'!G30</f>
        <v>0</v>
      </c>
    </row>
    <row r="102" spans="2:9" x14ac:dyDescent="0.25">
      <c r="B102" s="95" t="str">
        <f t="shared" ref="B102:B108" si="20">B37</f>
        <v>Mental Health Practitioner (50% reimbursement) Band 6</v>
      </c>
      <c r="C102" s="100">
        <f>(D70*'Max Reimbursement Rates'!$D31)/4</f>
        <v>0</v>
      </c>
      <c r="D102" s="100">
        <f>(E70*'Max Reimbursement Rates'!$D31)/4</f>
        <v>0</v>
      </c>
      <c r="E102" s="100">
        <f>(F70*'Max Reimbursement Rates'!$E31)/4</f>
        <v>0</v>
      </c>
      <c r="F102" s="294">
        <f>(G70*'Max Reimbursement Rates'!$E31)/4</f>
        <v>0</v>
      </c>
      <c r="G102" s="99">
        <f t="shared" si="19"/>
        <v>0</v>
      </c>
      <c r="H102" s="100">
        <f>H70*'Max Reimbursement Rates'!F31</f>
        <v>0</v>
      </c>
      <c r="I102" s="101">
        <f>I70*'Max Reimbursement Rates'!G31</f>
        <v>0</v>
      </c>
    </row>
    <row r="103" spans="2:9" x14ac:dyDescent="0.25">
      <c r="B103" s="95" t="str">
        <f t="shared" si="20"/>
        <v>Mental Health Practitioner (50% reimbursement) Band 7</v>
      </c>
      <c r="C103" s="100">
        <f>(D71*'Max Reimbursement Rates'!$D32)/4</f>
        <v>0</v>
      </c>
      <c r="D103" s="100">
        <f>(E71*'Max Reimbursement Rates'!$D32)/4</f>
        <v>0</v>
      </c>
      <c r="E103" s="100">
        <f>(F71*'Max Reimbursement Rates'!$E32)/4</f>
        <v>0</v>
      </c>
      <c r="F103" s="294">
        <f>(G71*'Max Reimbursement Rates'!$E32)/4</f>
        <v>0</v>
      </c>
      <c r="G103" s="99">
        <f t="shared" si="19"/>
        <v>0</v>
      </c>
      <c r="H103" s="100">
        <f>H71*'Max Reimbursement Rates'!F32</f>
        <v>0</v>
      </c>
      <c r="I103" s="101">
        <f>I71*'Max Reimbursement Rates'!G32</f>
        <v>0</v>
      </c>
    </row>
    <row r="104" spans="2:9" ht="15.75" thickBot="1" x14ac:dyDescent="0.3">
      <c r="B104" s="174" t="str">
        <f t="shared" si="20"/>
        <v>Mental Health Practitioner (50% reimbursement) Band 8a</v>
      </c>
      <c r="C104" s="181">
        <f>(D72*'Max Reimbursement Rates'!$D33)/4</f>
        <v>0</v>
      </c>
      <c r="D104" s="181">
        <f>(E72*'Max Reimbursement Rates'!$D33)/4</f>
        <v>0</v>
      </c>
      <c r="E104" s="181">
        <f>(F72*'Max Reimbursement Rates'!$E33)/4</f>
        <v>0</v>
      </c>
      <c r="F104" s="295">
        <f>(G72*'Max Reimbursement Rates'!$E33)/4</f>
        <v>0</v>
      </c>
      <c r="G104" s="182">
        <f t="shared" si="19"/>
        <v>0</v>
      </c>
      <c r="H104" s="181">
        <f>H72*'Max Reimbursement Rates'!F33</f>
        <v>0</v>
      </c>
      <c r="I104" s="183">
        <f>I72*'Max Reimbursement Rates'!G33</f>
        <v>0</v>
      </c>
    </row>
    <row r="105" spans="2:9" x14ac:dyDescent="0.25">
      <c r="B105" s="168" t="str">
        <f t="shared" si="20"/>
        <v>Children and Young Persons Mental Health Practitioner (50% Reimbursement) Band 5</v>
      </c>
      <c r="C105" s="165">
        <f>(D73*'Max Reimbursement Rates'!$D30)/4</f>
        <v>0</v>
      </c>
      <c r="D105" s="165">
        <f>(E73*'Max Reimbursement Rates'!$D30)/4</f>
        <v>0</v>
      </c>
      <c r="E105" s="165">
        <f>(F73*'Max Reimbursement Rates'!$E30)/4</f>
        <v>0</v>
      </c>
      <c r="F105" s="166">
        <f>(G73*'Max Reimbursement Rates'!$E30)/4</f>
        <v>0</v>
      </c>
      <c r="G105" s="177">
        <f t="shared" si="19"/>
        <v>0</v>
      </c>
      <c r="H105" s="165">
        <f>H73*'Max Reimbursement Rates'!F30</f>
        <v>0</v>
      </c>
      <c r="I105" s="167">
        <f>I73*'Max Reimbursement Rates'!G30</f>
        <v>0</v>
      </c>
    </row>
    <row r="106" spans="2:9" x14ac:dyDescent="0.25">
      <c r="B106" s="95" t="str">
        <f t="shared" si="20"/>
        <v>Children and Young Persons Mental Health Practitioner (50% Reimbursement) Band 6</v>
      </c>
      <c r="C106" s="157">
        <f>(D74*'Max Reimbursement Rates'!$D31)/4</f>
        <v>0</v>
      </c>
      <c r="D106" s="157">
        <f>(E74*'Max Reimbursement Rates'!$D31)/4</f>
        <v>0</v>
      </c>
      <c r="E106" s="157">
        <f>(F74*'Max Reimbursement Rates'!$E31)/4</f>
        <v>0</v>
      </c>
      <c r="F106" s="158">
        <f>(G74*'Max Reimbursement Rates'!$E31)/4</f>
        <v>0</v>
      </c>
      <c r="G106" s="99">
        <f t="shared" si="19"/>
        <v>0</v>
      </c>
      <c r="H106" s="157">
        <f>H74*'Max Reimbursement Rates'!F31</f>
        <v>0</v>
      </c>
      <c r="I106" s="160">
        <f>I74*'Max Reimbursement Rates'!G31</f>
        <v>0</v>
      </c>
    </row>
    <row r="107" spans="2:9" x14ac:dyDescent="0.25">
      <c r="B107" s="95" t="str">
        <f t="shared" si="20"/>
        <v>Children and Young Persons Mental Health Practitioner (50% Reimbursement) Band 7</v>
      </c>
      <c r="C107" s="157">
        <f>(D75*'Max Reimbursement Rates'!$D32)/4</f>
        <v>0</v>
      </c>
      <c r="D107" s="157">
        <f>(E75*'Max Reimbursement Rates'!$D32)/4</f>
        <v>0</v>
      </c>
      <c r="E107" s="157">
        <f>(F75*'Max Reimbursement Rates'!$E32)/4</f>
        <v>0</v>
      </c>
      <c r="F107" s="158">
        <f>(G75*'Max Reimbursement Rates'!$E32)/4</f>
        <v>0</v>
      </c>
      <c r="G107" s="99">
        <f t="shared" si="19"/>
        <v>0</v>
      </c>
      <c r="H107" s="157">
        <f>H75*'Max Reimbursement Rates'!F32</f>
        <v>0</v>
      </c>
      <c r="I107" s="160">
        <f>I75*'Max Reimbursement Rates'!G32</f>
        <v>0</v>
      </c>
    </row>
    <row r="108" spans="2:9" ht="15.75" thickBot="1" x14ac:dyDescent="0.3">
      <c r="B108" s="95" t="str">
        <f t="shared" si="20"/>
        <v>Children and Young Persons Mental Health Practitioner (50% Reimbursement) Band 8a</v>
      </c>
      <c r="C108" s="157">
        <f>(D76*'Max Reimbursement Rates'!$D33)/4</f>
        <v>0</v>
      </c>
      <c r="D108" s="157">
        <f>(E76*'Max Reimbursement Rates'!$D33)/4</f>
        <v>0</v>
      </c>
      <c r="E108" s="157">
        <f>(F76*'Max Reimbursement Rates'!$E33)/4</f>
        <v>0</v>
      </c>
      <c r="F108" s="158">
        <f>(G76*'Max Reimbursement Rates'!$E33)/4</f>
        <v>0</v>
      </c>
      <c r="G108" s="99">
        <f t="shared" si="19"/>
        <v>0</v>
      </c>
      <c r="H108" s="157">
        <f>H76*'Max Reimbursement Rates'!F33</f>
        <v>0</v>
      </c>
      <c r="I108" s="160">
        <f>I76*'Max Reimbursement Rates'!G33</f>
        <v>0</v>
      </c>
    </row>
    <row r="109" spans="2:9" x14ac:dyDescent="0.25">
      <c r="B109" s="161" t="s">
        <v>213</v>
      </c>
      <c r="C109" s="162">
        <f>SUM(C82:C108)</f>
        <v>0</v>
      </c>
      <c r="D109" s="162">
        <f t="shared" ref="D109:F109" si="21">SUM(D82:D108)</f>
        <v>0</v>
      </c>
      <c r="E109" s="162">
        <f t="shared" si="21"/>
        <v>0</v>
      </c>
      <c r="F109" s="162">
        <f t="shared" si="21"/>
        <v>0</v>
      </c>
      <c r="G109" s="163">
        <f>SUM(G82:G108)</f>
        <v>0</v>
      </c>
      <c r="H109" s="162">
        <f>SUM(H82:H108)</f>
        <v>0</v>
      </c>
      <c r="I109" s="162">
        <f>SUM(I82:I108)</f>
        <v>0</v>
      </c>
    </row>
    <row r="110" spans="2:9" ht="7.5" customHeight="1" x14ac:dyDescent="0.25">
      <c r="C110" s="90"/>
      <c r="D110" s="90"/>
      <c r="E110" s="90"/>
      <c r="F110" s="90"/>
      <c r="G110" s="90"/>
    </row>
    <row r="111" spans="2:9" x14ac:dyDescent="0.25">
      <c r="B111" s="240" t="s">
        <v>236</v>
      </c>
      <c r="C111" s="241"/>
      <c r="D111" s="241"/>
      <c r="E111" s="241"/>
      <c r="F111" s="241"/>
      <c r="G111" s="141">
        <f>G7</f>
        <v>0</v>
      </c>
      <c r="H111" s="129">
        <f>H7</f>
        <v>0</v>
      </c>
      <c r="I111" s="129">
        <f>I7</f>
        <v>0</v>
      </c>
    </row>
    <row r="112" spans="2:9" x14ac:dyDescent="0.25">
      <c r="B112" s="240" t="s">
        <v>237</v>
      </c>
      <c r="C112" s="241"/>
      <c r="D112" s="241"/>
      <c r="E112" s="241"/>
      <c r="F112" s="241"/>
      <c r="G112" s="230">
        <f>G111-G109</f>
        <v>0</v>
      </c>
      <c r="H112" s="231">
        <f>H111-H109</f>
        <v>0</v>
      </c>
      <c r="I112" s="231">
        <f>I111-I109</f>
        <v>0</v>
      </c>
    </row>
    <row r="113" spans="2:9" ht="15" customHeight="1" x14ac:dyDescent="0.25">
      <c r="B113" s="254" t="s">
        <v>262</v>
      </c>
      <c r="C113" s="254"/>
      <c r="D113" s="254"/>
      <c r="E113" s="254"/>
      <c r="F113" s="254"/>
      <c r="G113" s="254"/>
      <c r="H113" s="254"/>
      <c r="I113" s="254"/>
    </row>
  </sheetData>
  <protectedRanges>
    <protectedRange sqref="B13:C13 B9:K9 B7:C8 B10:I12 B2:C4" name="Data Entry"/>
    <protectedRange sqref="D17:I32 D36:I43" name="Data Entry_1"/>
  </protectedRanges>
  <sortState xmlns:xlrd2="http://schemas.microsoft.com/office/spreadsheetml/2017/richdata2" ref="B2:I2">
    <sortCondition ref="B2"/>
  </sortState>
  <mergeCells count="25">
    <mergeCell ref="B15:I15"/>
    <mergeCell ref="M36:M39"/>
    <mergeCell ref="M40:M43"/>
    <mergeCell ref="B113:I113"/>
    <mergeCell ref="B1:I1"/>
    <mergeCell ref="B47:I47"/>
    <mergeCell ref="B80:I80"/>
    <mergeCell ref="B4:I4"/>
    <mergeCell ref="B5:I5"/>
    <mergeCell ref="B6:F6"/>
    <mergeCell ref="B7:F7"/>
    <mergeCell ref="B2:I2"/>
    <mergeCell ref="B14:I14"/>
    <mergeCell ref="B112:F112"/>
    <mergeCell ref="B11:F11"/>
    <mergeCell ref="B12:F12"/>
    <mergeCell ref="N36:N39"/>
    <mergeCell ref="N40:N43"/>
    <mergeCell ref="B111:F111"/>
    <mergeCell ref="O36:O39"/>
    <mergeCell ref="O40:O43"/>
    <mergeCell ref="L36:L39"/>
    <mergeCell ref="L40:L43"/>
    <mergeCell ref="B48:I48"/>
    <mergeCell ref="B79:I79"/>
  </mergeCells>
  <phoneticPr fontId="6" type="noConversion"/>
  <conditionalFormatting sqref="D50:I76">
    <cfRule type="cellIs" dxfId="24" priority="10" operator="between">
      <formula>0.000001</formula>
      <formula>0.49999</formula>
    </cfRule>
  </conditionalFormatting>
  <dataValidations count="2">
    <dataValidation type="list" allowBlank="1" showInputMessage="1" showErrorMessage="1" sqref="B2:I2" xr:uid="{D422932E-71F5-4ED4-BF5C-7A68C8EA4A74}">
      <formula1>CCG</formula1>
    </dataValidation>
    <dataValidation type="list" allowBlank="1" showInputMessage="1" showErrorMessage="1" sqref="B4:I4" xr:uid="{3F506590-D38D-406C-AFC1-FFBEA61ECA9B}">
      <formula1>INDIRECT(B2)</formula1>
    </dataValidation>
  </dataValidations>
  <pageMargins left="0.7" right="0.7" top="0.75" bottom="0.75" header="0.3" footer="0.3"/>
  <pageSetup paperSize="9" orientation="portrait" horizontalDpi="90" verticalDpi="9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BA48-AF5F-47DF-8938-5E113ADB8B6F}">
  <dimension ref="A1:K53"/>
  <sheetViews>
    <sheetView showGridLines="0" zoomScaleNormal="100" workbookViewId="0">
      <selection activeCell="H34" sqref="H34"/>
    </sheetView>
  </sheetViews>
  <sheetFormatPr defaultRowHeight="15" x14ac:dyDescent="0.25"/>
  <cols>
    <col min="1" max="1" width="70.5703125" customWidth="1"/>
    <col min="2" max="2" width="9" customWidth="1"/>
    <col min="3" max="3" width="14.7109375" customWidth="1"/>
    <col min="4" max="4" width="19.5703125" customWidth="1"/>
    <col min="5" max="5" width="20.28515625" customWidth="1"/>
    <col min="6" max="6" width="14.7109375" customWidth="1"/>
    <col min="7" max="7" width="13.42578125" customWidth="1"/>
    <col min="8" max="8" width="68.85546875" customWidth="1"/>
    <col min="10" max="10" width="13" bestFit="1" customWidth="1"/>
    <col min="11" max="11" width="11.7109375" customWidth="1"/>
  </cols>
  <sheetData>
    <row r="1" spans="1:11" x14ac:dyDescent="0.25">
      <c r="A1" s="272" t="s">
        <v>43</v>
      </c>
      <c r="B1" s="272"/>
      <c r="C1" s="272"/>
      <c r="D1" s="272"/>
      <c r="E1" s="272"/>
      <c r="F1" s="272"/>
      <c r="G1" s="272"/>
      <c r="H1" s="272"/>
      <c r="I1" s="272"/>
    </row>
    <row r="2" spans="1:11" x14ac:dyDescent="0.25">
      <c r="A2" s="7" t="s">
        <v>42</v>
      </c>
      <c r="B2" s="29"/>
      <c r="C2" s="29"/>
      <c r="D2" s="29"/>
      <c r="E2" s="29"/>
      <c r="F2" s="29"/>
      <c r="G2" s="29"/>
      <c r="H2" s="29"/>
      <c r="I2" s="29"/>
    </row>
    <row r="3" spans="1:11" x14ac:dyDescent="0.25">
      <c r="A3" s="7"/>
      <c r="B3" s="32"/>
      <c r="C3" s="32"/>
      <c r="D3" s="32"/>
      <c r="E3" s="32"/>
      <c r="F3" s="32"/>
      <c r="G3" s="32"/>
      <c r="H3" s="32"/>
      <c r="I3" s="32"/>
    </row>
    <row r="4" spans="1:11" x14ac:dyDescent="0.25">
      <c r="A4" s="297" t="s">
        <v>293</v>
      </c>
      <c r="B4" s="32"/>
      <c r="C4" s="32"/>
      <c r="D4" s="32"/>
      <c r="E4" s="32"/>
      <c r="F4" s="32"/>
      <c r="G4" s="32"/>
      <c r="H4" s="32"/>
      <c r="I4" s="32"/>
    </row>
    <row r="5" spans="1:11" x14ac:dyDescent="0.25">
      <c r="A5" s="7"/>
      <c r="B5" s="32"/>
      <c r="C5" s="32"/>
      <c r="D5" s="32"/>
      <c r="E5" s="32"/>
      <c r="F5" s="32"/>
      <c r="G5" s="32"/>
      <c r="H5" s="32"/>
      <c r="I5" s="32"/>
    </row>
    <row r="6" spans="1:11" x14ac:dyDescent="0.25">
      <c r="A6" s="272" t="s">
        <v>44</v>
      </c>
      <c r="B6" s="272"/>
      <c r="C6" s="272"/>
      <c r="D6" s="272"/>
      <c r="E6" s="272"/>
      <c r="F6" s="272"/>
      <c r="G6" s="272"/>
      <c r="H6" s="272"/>
      <c r="I6" s="272"/>
    </row>
    <row r="7" spans="1:11" x14ac:dyDescent="0.25">
      <c r="A7" s="7" t="s">
        <v>39</v>
      </c>
      <c r="B7" s="30"/>
      <c r="C7" s="30"/>
      <c r="D7" s="30"/>
      <c r="E7" s="30"/>
      <c r="F7" s="30"/>
      <c r="G7" s="30"/>
      <c r="H7" s="30"/>
      <c r="I7" s="30"/>
    </row>
    <row r="8" spans="1:11" x14ac:dyDescent="0.25">
      <c r="A8" s="7"/>
      <c r="B8" s="30"/>
      <c r="C8" s="30"/>
      <c r="D8" s="30"/>
      <c r="E8" s="30"/>
      <c r="F8" s="30"/>
      <c r="G8" s="30"/>
      <c r="H8" s="30"/>
      <c r="I8" s="30"/>
    </row>
    <row r="9" spans="1:11" x14ac:dyDescent="0.25">
      <c r="A9" s="26"/>
      <c r="B9" s="27"/>
      <c r="C9" s="270" t="s">
        <v>291</v>
      </c>
      <c r="D9" s="270"/>
      <c r="E9" s="270"/>
      <c r="F9" s="271"/>
    </row>
    <row r="10" spans="1:11" x14ac:dyDescent="0.25">
      <c r="A10" s="80" t="s">
        <v>6</v>
      </c>
      <c r="B10" s="81" t="s">
        <v>31</v>
      </c>
      <c r="C10" s="36" t="s">
        <v>1</v>
      </c>
      <c r="D10" s="291" t="s">
        <v>290</v>
      </c>
      <c r="E10" s="291" t="s">
        <v>289</v>
      </c>
      <c r="F10" s="82" t="s">
        <v>3</v>
      </c>
      <c r="G10" s="82" t="s">
        <v>4</v>
      </c>
      <c r="H10" s="19" t="s">
        <v>62</v>
      </c>
    </row>
    <row r="11" spans="1:11" x14ac:dyDescent="0.25">
      <c r="A11" s="2" t="s">
        <v>47</v>
      </c>
      <c r="B11" s="19">
        <v>5</v>
      </c>
      <c r="C11" s="76">
        <v>35389</v>
      </c>
      <c r="D11" s="77">
        <v>36114.097508320003</v>
      </c>
      <c r="E11" s="77">
        <v>36428</v>
      </c>
      <c r="F11" s="78">
        <f>E11*1.02</f>
        <v>37156.559999999998</v>
      </c>
      <c r="G11" s="78">
        <f>F11*1.02</f>
        <v>37899.691200000001</v>
      </c>
      <c r="J11" s="285"/>
      <c r="K11" s="296"/>
    </row>
    <row r="12" spans="1:11" x14ac:dyDescent="0.25">
      <c r="A12" s="11" t="s">
        <v>10</v>
      </c>
      <c r="B12" s="23" t="s">
        <v>8</v>
      </c>
      <c r="C12" s="37">
        <v>55670</v>
      </c>
      <c r="D12" s="34">
        <v>56829</v>
      </c>
      <c r="E12" s="34">
        <v>57318</v>
      </c>
      <c r="F12" s="78">
        <f t="shared" ref="F12:F33" si="0">E12*1.02</f>
        <v>58464.36</v>
      </c>
      <c r="G12" s="75">
        <f>F12*1.02</f>
        <v>59633.647199999999</v>
      </c>
      <c r="J12" s="285"/>
      <c r="K12" s="296"/>
    </row>
    <row r="13" spans="1:11" x14ac:dyDescent="0.25">
      <c r="A13" s="24" t="s">
        <v>206</v>
      </c>
      <c r="B13" s="25" t="s">
        <v>45</v>
      </c>
      <c r="C13" s="38"/>
      <c r="D13" s="35">
        <v>62704.774165355542</v>
      </c>
      <c r="E13" s="35">
        <v>63243</v>
      </c>
      <c r="F13" s="78">
        <f t="shared" si="0"/>
        <v>64507.86</v>
      </c>
      <c r="G13" s="40">
        <f t="shared" ref="G13:G33" si="1">F13*1.02</f>
        <v>65798.017200000002</v>
      </c>
      <c r="H13" t="s">
        <v>61</v>
      </c>
      <c r="J13" s="285"/>
      <c r="K13" s="296"/>
    </row>
    <row r="14" spans="1:11" x14ac:dyDescent="0.25">
      <c r="A14" s="11" t="s">
        <v>40</v>
      </c>
      <c r="B14" s="23">
        <v>7</v>
      </c>
      <c r="C14" s="37">
        <v>53724</v>
      </c>
      <c r="D14" s="34">
        <v>54841.330866400007</v>
      </c>
      <c r="E14" s="34">
        <v>55313</v>
      </c>
      <c r="F14" s="78">
        <f t="shared" si="0"/>
        <v>56419.26</v>
      </c>
      <c r="G14" s="40">
        <f>F14*1.02</f>
        <v>57547.645200000006</v>
      </c>
      <c r="J14" s="285"/>
      <c r="K14" s="296"/>
    </row>
    <row r="15" spans="1:11" x14ac:dyDescent="0.25">
      <c r="A15" s="24" t="s">
        <v>205</v>
      </c>
      <c r="B15" s="25" t="s">
        <v>45</v>
      </c>
      <c r="C15" s="38"/>
      <c r="D15" s="35">
        <v>62704.774165355542</v>
      </c>
      <c r="E15" s="35">
        <v>63243</v>
      </c>
      <c r="F15" s="78">
        <f t="shared" si="0"/>
        <v>64507.86</v>
      </c>
      <c r="G15" s="40">
        <f t="shared" si="1"/>
        <v>65798.017200000002</v>
      </c>
      <c r="H15" t="s">
        <v>61</v>
      </c>
      <c r="J15" s="285"/>
      <c r="K15" s="296"/>
    </row>
    <row r="16" spans="1:11" x14ac:dyDescent="0.25">
      <c r="A16" s="11" t="s">
        <v>50</v>
      </c>
      <c r="B16" s="23" t="s">
        <v>8</v>
      </c>
      <c r="C16" s="37">
        <v>55670</v>
      </c>
      <c r="D16" s="34">
        <v>56828.742795760001</v>
      </c>
      <c r="E16" s="34">
        <v>57318</v>
      </c>
      <c r="F16" s="78">
        <f t="shared" si="0"/>
        <v>58464.36</v>
      </c>
      <c r="G16" s="40">
        <f>F16*1.02</f>
        <v>59633.647199999999</v>
      </c>
      <c r="J16" s="285"/>
      <c r="K16" s="296"/>
    </row>
    <row r="17" spans="1:11" x14ac:dyDescent="0.25">
      <c r="A17" s="24" t="s">
        <v>207</v>
      </c>
      <c r="B17" s="25" t="s">
        <v>45</v>
      </c>
      <c r="C17" s="38"/>
      <c r="D17" s="35">
        <v>62704.774165355542</v>
      </c>
      <c r="E17" s="35">
        <v>63243</v>
      </c>
      <c r="F17" s="78">
        <f t="shared" si="0"/>
        <v>64507.86</v>
      </c>
      <c r="G17" s="40">
        <f t="shared" si="1"/>
        <v>65798.017200000002</v>
      </c>
      <c r="H17" t="s">
        <v>61</v>
      </c>
      <c r="J17" s="285"/>
      <c r="K17" s="296"/>
    </row>
    <row r="18" spans="1:11" x14ac:dyDescent="0.25">
      <c r="A18" s="11" t="s">
        <v>46</v>
      </c>
      <c r="B18" s="23">
        <v>7</v>
      </c>
      <c r="C18" s="37">
        <v>53724</v>
      </c>
      <c r="D18" s="34">
        <v>54841.330866400007</v>
      </c>
      <c r="E18" s="34">
        <v>55313</v>
      </c>
      <c r="F18" s="78">
        <f t="shared" si="0"/>
        <v>56419.26</v>
      </c>
      <c r="G18" s="40">
        <f>F18*1.02</f>
        <v>57547.645200000006</v>
      </c>
      <c r="J18" s="285"/>
      <c r="K18" s="296"/>
    </row>
    <row r="19" spans="1:11" x14ac:dyDescent="0.25">
      <c r="A19" s="24" t="s">
        <v>208</v>
      </c>
      <c r="B19" s="25" t="s">
        <v>45</v>
      </c>
      <c r="C19" s="38"/>
      <c r="D19" s="35">
        <v>62704.774165355542</v>
      </c>
      <c r="E19" s="35">
        <v>63243</v>
      </c>
      <c r="F19" s="78">
        <f t="shared" si="0"/>
        <v>64507.86</v>
      </c>
      <c r="G19" s="40">
        <f t="shared" si="1"/>
        <v>65798.017200000002</v>
      </c>
      <c r="H19" t="s">
        <v>61</v>
      </c>
      <c r="J19" s="285"/>
      <c r="K19" s="296"/>
    </row>
    <row r="20" spans="1:11" x14ac:dyDescent="0.25">
      <c r="A20" s="11" t="s">
        <v>7</v>
      </c>
      <c r="B20" s="23">
        <v>7</v>
      </c>
      <c r="C20" s="37">
        <v>53724</v>
      </c>
      <c r="D20" s="34">
        <v>54841.330866400007</v>
      </c>
      <c r="E20" s="34">
        <v>55313</v>
      </c>
      <c r="F20" s="78">
        <f t="shared" si="0"/>
        <v>56419.26</v>
      </c>
      <c r="G20" s="40">
        <f>F20*1.02</f>
        <v>57547.645200000006</v>
      </c>
      <c r="J20" s="285"/>
      <c r="K20" s="296"/>
    </row>
    <row r="21" spans="1:11" x14ac:dyDescent="0.25">
      <c r="A21" s="24" t="s">
        <v>209</v>
      </c>
      <c r="B21" s="25" t="s">
        <v>45</v>
      </c>
      <c r="C21" s="38"/>
      <c r="D21" s="35">
        <v>62704.774165355542</v>
      </c>
      <c r="E21" s="35">
        <v>63243</v>
      </c>
      <c r="F21" s="78">
        <f t="shared" si="0"/>
        <v>64507.86</v>
      </c>
      <c r="G21" s="40">
        <f t="shared" si="1"/>
        <v>65798.017200000002</v>
      </c>
      <c r="H21" t="s">
        <v>61</v>
      </c>
      <c r="J21" s="285"/>
      <c r="K21" s="296"/>
    </row>
    <row r="22" spans="1:11" x14ac:dyDescent="0.25">
      <c r="A22" s="11" t="s">
        <v>49</v>
      </c>
      <c r="B22" s="23">
        <v>7</v>
      </c>
      <c r="C22" s="37">
        <v>53724</v>
      </c>
      <c r="D22" s="34">
        <v>54841.330866400007</v>
      </c>
      <c r="E22" s="34">
        <v>55313</v>
      </c>
      <c r="F22" s="78">
        <f t="shared" si="0"/>
        <v>56419.26</v>
      </c>
      <c r="G22" s="40">
        <f>F22*1.02</f>
        <v>57547.645200000006</v>
      </c>
      <c r="J22" s="285"/>
      <c r="K22" s="296"/>
    </row>
    <row r="23" spans="1:11" x14ac:dyDescent="0.25">
      <c r="A23" s="24" t="s">
        <v>210</v>
      </c>
      <c r="B23" s="25" t="s">
        <v>45</v>
      </c>
      <c r="C23" s="38"/>
      <c r="D23" s="35">
        <v>62704.774165355542</v>
      </c>
      <c r="E23" s="35">
        <v>63243</v>
      </c>
      <c r="F23" s="78">
        <f t="shared" si="0"/>
        <v>64507.86</v>
      </c>
      <c r="G23" s="40">
        <f t="shared" si="1"/>
        <v>65798.017200000002</v>
      </c>
      <c r="H23" t="s">
        <v>61</v>
      </c>
      <c r="J23" s="285"/>
      <c r="K23" s="296"/>
    </row>
    <row r="24" spans="1:11" x14ac:dyDescent="0.25">
      <c r="A24" s="11" t="s">
        <v>11</v>
      </c>
      <c r="B24" s="23">
        <v>7</v>
      </c>
      <c r="C24" s="37">
        <v>53724</v>
      </c>
      <c r="D24" s="34">
        <v>54841.330866400007</v>
      </c>
      <c r="E24" s="34">
        <v>55313</v>
      </c>
      <c r="F24" s="78">
        <f t="shared" si="0"/>
        <v>56419.26</v>
      </c>
      <c r="G24" s="40">
        <f t="shared" ref="G24:G29" si="2">F24*1.02</f>
        <v>57547.645200000006</v>
      </c>
      <c r="J24" s="285"/>
      <c r="K24" s="296"/>
    </row>
    <row r="25" spans="1:11" x14ac:dyDescent="0.25">
      <c r="A25" s="11" t="s">
        <v>51</v>
      </c>
      <c r="B25" s="23">
        <v>4</v>
      </c>
      <c r="C25" s="37">
        <v>29135</v>
      </c>
      <c r="D25" s="34">
        <v>29726.361801240004</v>
      </c>
      <c r="E25" s="34">
        <v>29987</v>
      </c>
      <c r="F25" s="78">
        <f t="shared" si="0"/>
        <v>30586.74</v>
      </c>
      <c r="G25" s="40">
        <f t="shared" si="2"/>
        <v>31198.474800000004</v>
      </c>
      <c r="J25" s="285"/>
      <c r="K25" s="296"/>
    </row>
    <row r="26" spans="1:11" x14ac:dyDescent="0.25">
      <c r="A26" s="11" t="s">
        <v>48</v>
      </c>
      <c r="B26" s="23" t="s">
        <v>28</v>
      </c>
      <c r="C26" s="37">
        <v>35389</v>
      </c>
      <c r="D26" s="34">
        <v>36114.097508320003</v>
      </c>
      <c r="E26" s="34">
        <v>36428</v>
      </c>
      <c r="F26" s="78">
        <f t="shared" si="0"/>
        <v>37156.559999999998</v>
      </c>
      <c r="G26" s="40">
        <f t="shared" si="2"/>
        <v>37899.691200000001</v>
      </c>
      <c r="J26" s="285"/>
      <c r="K26" s="296"/>
    </row>
    <row r="27" spans="1:11" x14ac:dyDescent="0.25">
      <c r="A27" s="11" t="s">
        <v>27</v>
      </c>
      <c r="B27" s="23" t="s">
        <v>28</v>
      </c>
      <c r="C27" s="37">
        <v>35389</v>
      </c>
      <c r="D27" s="34">
        <v>36114.097508320003</v>
      </c>
      <c r="E27" s="34">
        <v>36428</v>
      </c>
      <c r="F27" s="78">
        <f t="shared" si="0"/>
        <v>37156.559999999998</v>
      </c>
      <c r="G27" s="40">
        <f t="shared" si="2"/>
        <v>37899.691200000001</v>
      </c>
      <c r="J27" s="285"/>
      <c r="K27" s="296"/>
    </row>
    <row r="28" spans="1:11" x14ac:dyDescent="0.25">
      <c r="A28" s="11" t="s">
        <v>36</v>
      </c>
      <c r="B28" s="23">
        <v>4</v>
      </c>
      <c r="C28" s="37">
        <v>29136</v>
      </c>
      <c r="D28" s="34">
        <v>29726.361801240004</v>
      </c>
      <c r="E28" s="34">
        <v>29987</v>
      </c>
      <c r="F28" s="78">
        <f t="shared" si="0"/>
        <v>30586.74</v>
      </c>
      <c r="G28" s="40">
        <f t="shared" si="2"/>
        <v>31198.474800000004</v>
      </c>
      <c r="J28" s="285"/>
      <c r="K28" s="296"/>
    </row>
    <row r="29" spans="1:11" x14ac:dyDescent="0.25">
      <c r="A29" s="24" t="s">
        <v>38</v>
      </c>
      <c r="B29" s="25">
        <v>3</v>
      </c>
      <c r="C29" s="38">
        <v>25671</v>
      </c>
      <c r="D29" s="35">
        <v>26187.511705680001</v>
      </c>
      <c r="E29" s="35">
        <v>26418</v>
      </c>
      <c r="F29" s="78">
        <f t="shared" si="0"/>
        <v>26946.36</v>
      </c>
      <c r="G29" s="79">
        <f t="shared" si="2"/>
        <v>27485.287200000002</v>
      </c>
      <c r="I29" s="39"/>
      <c r="J29" s="285"/>
      <c r="K29" s="296"/>
    </row>
    <row r="30" spans="1:11" ht="15" customHeight="1" x14ac:dyDescent="0.25">
      <c r="A30" s="11" t="s">
        <v>59</v>
      </c>
      <c r="B30" s="23">
        <v>5</v>
      </c>
      <c r="C30" s="37"/>
      <c r="D30" s="34">
        <v>18057.048754160001</v>
      </c>
      <c r="E30" s="34">
        <f>36428/2</f>
        <v>18214</v>
      </c>
      <c r="F30" s="78">
        <f t="shared" si="0"/>
        <v>18578.28</v>
      </c>
      <c r="G30" s="75">
        <f t="shared" si="1"/>
        <v>18949.845600000001</v>
      </c>
      <c r="H30" t="s">
        <v>60</v>
      </c>
      <c r="J30" s="285"/>
      <c r="K30" s="296"/>
    </row>
    <row r="31" spans="1:11" x14ac:dyDescent="0.25">
      <c r="A31" s="11" t="s">
        <v>59</v>
      </c>
      <c r="B31" s="23">
        <v>6</v>
      </c>
      <c r="C31" s="37"/>
      <c r="D31" s="34">
        <v>22442.970996159998</v>
      </c>
      <c r="E31" s="34">
        <f>45274/2</f>
        <v>22637</v>
      </c>
      <c r="F31" s="78">
        <f t="shared" si="0"/>
        <v>23089.74</v>
      </c>
      <c r="G31" s="40">
        <f t="shared" si="1"/>
        <v>23551.534800000001</v>
      </c>
      <c r="J31" s="285"/>
      <c r="K31" s="296"/>
    </row>
    <row r="32" spans="1:11" x14ac:dyDescent="0.25">
      <c r="A32" s="11" t="s">
        <v>59</v>
      </c>
      <c r="B32" s="23">
        <v>7</v>
      </c>
      <c r="C32" s="37"/>
      <c r="D32" s="34">
        <v>27420.665433200003</v>
      </c>
      <c r="E32" s="34">
        <f>55313/2</f>
        <v>27656.5</v>
      </c>
      <c r="F32" s="78">
        <f t="shared" si="0"/>
        <v>28209.63</v>
      </c>
      <c r="G32" s="40">
        <f t="shared" si="1"/>
        <v>28773.822600000003</v>
      </c>
      <c r="J32" s="285"/>
      <c r="K32" s="296"/>
    </row>
    <row r="33" spans="1:11" x14ac:dyDescent="0.25">
      <c r="A33" s="24" t="s">
        <v>59</v>
      </c>
      <c r="B33" s="25" t="s">
        <v>45</v>
      </c>
      <c r="C33" s="38"/>
      <c r="D33" s="35">
        <v>31352.387082677771</v>
      </c>
      <c r="E33" s="35">
        <f>63243/2</f>
        <v>31621.5</v>
      </c>
      <c r="F33" s="78">
        <f t="shared" si="0"/>
        <v>32253.93</v>
      </c>
      <c r="G33" s="40">
        <f t="shared" si="1"/>
        <v>32899.008600000001</v>
      </c>
      <c r="J33" s="285"/>
      <c r="K33" s="296"/>
    </row>
    <row r="34" spans="1:11" ht="15" customHeight="1" x14ac:dyDescent="0.25">
      <c r="F34" s="273" t="s">
        <v>30</v>
      </c>
      <c r="G34" s="273"/>
    </row>
    <row r="35" spans="1:11" x14ac:dyDescent="0.25">
      <c r="D35" s="28"/>
      <c r="E35" s="28"/>
      <c r="F35" s="274"/>
      <c r="G35" s="274"/>
    </row>
    <row r="37" spans="1:11" s="41" customFormat="1" x14ac:dyDescent="0.25">
      <c r="A37" s="42" t="s">
        <v>52</v>
      </c>
    </row>
    <row r="38" spans="1:11" s="41" customFormat="1" x14ac:dyDescent="0.25">
      <c r="A38" s="42" t="s">
        <v>53</v>
      </c>
    </row>
    <row r="39" spans="1:11" s="41" customFormat="1" x14ac:dyDescent="0.25">
      <c r="A39" s="42" t="s">
        <v>54</v>
      </c>
    </row>
    <row r="40" spans="1:11" s="41" customFormat="1" x14ac:dyDescent="0.25">
      <c r="A40" s="43" t="s">
        <v>55</v>
      </c>
    </row>
    <row r="41" spans="1:11" x14ac:dyDescent="0.25">
      <c r="A41" s="44" t="s">
        <v>56</v>
      </c>
    </row>
    <row r="42" spans="1:11" x14ac:dyDescent="0.25">
      <c r="A42" s="44" t="s">
        <v>57</v>
      </c>
    </row>
    <row r="43" spans="1:11" x14ac:dyDescent="0.25">
      <c r="A43" s="44" t="s">
        <v>58</v>
      </c>
    </row>
    <row r="44" spans="1:11" x14ac:dyDescent="0.25">
      <c r="A44" s="45"/>
    </row>
    <row r="45" spans="1:11" x14ac:dyDescent="0.25">
      <c r="A45" s="236" t="s">
        <v>270</v>
      </c>
    </row>
    <row r="46" spans="1:11" x14ac:dyDescent="0.25">
      <c r="A46" s="236" t="s">
        <v>271</v>
      </c>
      <c r="D46" s="39"/>
    </row>
    <row r="47" spans="1:11" x14ac:dyDescent="0.25">
      <c r="A47" s="235">
        <v>44286</v>
      </c>
      <c r="D47" s="39"/>
    </row>
    <row r="48" spans="1:11" x14ac:dyDescent="0.25">
      <c r="A48" s="7" t="s">
        <v>63</v>
      </c>
      <c r="D48" s="39"/>
    </row>
    <row r="49" spans="1:4" x14ac:dyDescent="0.25">
      <c r="D49" s="39"/>
    </row>
    <row r="50" spans="1:4" x14ac:dyDescent="0.25">
      <c r="A50" s="236" t="s">
        <v>270</v>
      </c>
    </row>
    <row r="51" spans="1:4" x14ac:dyDescent="0.25">
      <c r="A51" s="236" t="s">
        <v>273</v>
      </c>
    </row>
    <row r="52" spans="1:4" x14ac:dyDescent="0.25">
      <c r="A52" s="235">
        <v>44286</v>
      </c>
    </row>
    <row r="53" spans="1:4" x14ac:dyDescent="0.25">
      <c r="A53" s="7" t="s">
        <v>272</v>
      </c>
    </row>
  </sheetData>
  <sortState xmlns:xlrd2="http://schemas.microsoft.com/office/spreadsheetml/2017/richdata2" ref="A11:G33">
    <sortCondition ref="D29:D33"/>
  </sortState>
  <mergeCells count="4">
    <mergeCell ref="C9:F9"/>
    <mergeCell ref="A1:I1"/>
    <mergeCell ref="A6:I6"/>
    <mergeCell ref="F34:G35"/>
  </mergeCells>
  <hyperlinks>
    <hyperlink ref="A7" r:id="rId1" xr:uid="{B536EB09-833E-4DD9-8B5F-62E1257AC352}"/>
    <hyperlink ref="A2" r:id="rId2" display="https://www.england.nhs.uk/publication/network-contract-des-specification-2021-22/" xr:uid="{77641FF1-382D-491A-A219-0026AFFAEA88}"/>
    <hyperlink ref="A48" r:id="rId3" display="https://www.england.nhs.uk/wp-content/uploads/2021/03/B0431-network-contract-des-guidance-for-21-22-in-england.pdf" xr:uid="{F90825A3-73DF-49CE-837A-3404EFE0307B}"/>
    <hyperlink ref="A53" r:id="rId4" display="https://www.england.nhs.uk/wp-content/uploads/2021/03/B0431-network-contract-des-specification-pcn-requirements-and-entitlements-21-22.pdf" xr:uid="{17F48988-5E31-4AF7-A9AC-9E06A050A21F}"/>
  </hyperlinks>
  <pageMargins left="0.7" right="0.7" top="0.75" bottom="0.75" header="0.3" footer="0.3"/>
  <pageSetup paperSize="9"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7DD0A-A33E-4974-B770-133D5BE5AAB1}">
  <sheetPr codeName="Sheet2"/>
  <dimension ref="B1:X155"/>
  <sheetViews>
    <sheetView showGridLines="0" zoomScale="80" zoomScaleNormal="80" workbookViewId="0">
      <selection activeCell="E7" sqref="E7"/>
    </sheetView>
  </sheetViews>
  <sheetFormatPr defaultRowHeight="15" x14ac:dyDescent="0.25"/>
  <cols>
    <col min="1" max="1" width="1.42578125" customWidth="1"/>
    <col min="2" max="2" width="33.42578125" customWidth="1"/>
    <col min="3" max="5" width="15" customWidth="1"/>
    <col min="6" max="6" width="17.28515625" customWidth="1"/>
    <col min="7" max="7" width="17.85546875" customWidth="1"/>
    <col min="8" max="8" width="3.85546875" customWidth="1"/>
    <col min="9" max="9" width="12.28515625" bestFit="1" customWidth="1"/>
    <col min="10" max="10" width="50.140625" style="22" bestFit="1" customWidth="1"/>
    <col min="11" max="11" width="25.85546875" style="22" bestFit="1" customWidth="1"/>
    <col min="12" max="12" width="20" style="22" customWidth="1"/>
    <col min="13" max="13" width="18.7109375" style="56" bestFit="1" customWidth="1"/>
    <col min="14" max="14" width="12.140625" style="56" bestFit="1" customWidth="1"/>
    <col min="15" max="15" width="40.7109375" customWidth="1"/>
    <col min="16" max="16" width="3.140625" customWidth="1"/>
    <col min="17" max="17" width="48.85546875" bestFit="1" customWidth="1"/>
    <col min="18" max="18" width="52.42578125" bestFit="1" customWidth="1"/>
    <col min="19" max="19" width="52.140625" bestFit="1" customWidth="1"/>
    <col min="20" max="20" width="42" bestFit="1" customWidth="1"/>
    <col min="21" max="21" width="40.140625" bestFit="1" customWidth="1"/>
    <col min="22" max="22" width="60.85546875" bestFit="1" customWidth="1"/>
    <col min="23" max="23" width="49.42578125" bestFit="1" customWidth="1"/>
    <col min="24" max="24" width="12" bestFit="1" customWidth="1"/>
  </cols>
  <sheetData>
    <row r="1" spans="2:24" x14ac:dyDescent="0.25">
      <c r="B1" s="7" t="s">
        <v>63</v>
      </c>
      <c r="O1" s="278" t="s">
        <v>26</v>
      </c>
      <c r="Q1" s="128" t="s">
        <v>228</v>
      </c>
      <c r="R1" s="128" t="s">
        <v>229</v>
      </c>
      <c r="S1" s="128" t="s">
        <v>230</v>
      </c>
      <c r="T1" s="128" t="s">
        <v>231</v>
      </c>
      <c r="U1" s="128" t="s">
        <v>232</v>
      </c>
      <c r="V1" s="128" t="s">
        <v>233</v>
      </c>
      <c r="W1" s="128" t="s">
        <v>234</v>
      </c>
      <c r="X1" s="128" t="s">
        <v>235</v>
      </c>
    </row>
    <row r="2" spans="2:24" ht="15" customHeight="1" thickBot="1" x14ac:dyDescent="0.3">
      <c r="B2" s="280" t="s">
        <v>0</v>
      </c>
      <c r="C2" s="46">
        <v>64320000</v>
      </c>
      <c r="D2" s="47">
        <v>430000000</v>
      </c>
      <c r="E2" s="17">
        <v>746458000</v>
      </c>
      <c r="F2" s="17">
        <v>1026747000</v>
      </c>
      <c r="G2" s="17">
        <v>1412011000</v>
      </c>
      <c r="J2" s="102" t="s">
        <v>22</v>
      </c>
      <c r="K2" s="103" t="s">
        <v>15</v>
      </c>
      <c r="L2" s="103" t="s">
        <v>14</v>
      </c>
      <c r="M2" s="104" t="s">
        <v>65</v>
      </c>
      <c r="N2" s="104" t="s">
        <v>64</v>
      </c>
      <c r="O2" s="278"/>
      <c r="Q2" s="65" t="s">
        <v>66</v>
      </c>
      <c r="R2" s="65" t="s">
        <v>91</v>
      </c>
      <c r="S2" s="65" t="s">
        <v>110</v>
      </c>
      <c r="T2" s="65" t="s">
        <v>139</v>
      </c>
      <c r="U2" s="65" t="s">
        <v>157</v>
      </c>
      <c r="V2" s="65" t="s">
        <v>172</v>
      </c>
      <c r="W2" s="65" t="s">
        <v>186</v>
      </c>
      <c r="X2" s="65" t="s">
        <v>235</v>
      </c>
    </row>
    <row r="3" spans="2:24" ht="15.75" thickBot="1" x14ac:dyDescent="0.3">
      <c r="B3" s="280"/>
      <c r="C3" s="48" t="s">
        <v>5</v>
      </c>
      <c r="D3" s="49" t="s">
        <v>1</v>
      </c>
      <c r="E3" s="4" t="s">
        <v>2</v>
      </c>
      <c r="F3" s="4" t="s">
        <v>3</v>
      </c>
      <c r="G3" s="4" t="s">
        <v>4</v>
      </c>
      <c r="I3" s="57" t="s">
        <v>15</v>
      </c>
      <c r="J3" s="52" t="s">
        <v>228</v>
      </c>
      <c r="K3" s="61"/>
      <c r="L3" s="61"/>
      <c r="M3" s="58">
        <f>SUM(M4:M29)</f>
        <v>956846</v>
      </c>
      <c r="N3" s="58">
        <f>SUM(N4:N29)</f>
        <v>945880.17879067233</v>
      </c>
      <c r="O3" s="59">
        <f>SUMIFS(O:O,K:K,J3)</f>
        <v>25</v>
      </c>
      <c r="Q3" s="65" t="s">
        <v>67</v>
      </c>
      <c r="R3" s="65" t="s">
        <v>92</v>
      </c>
      <c r="S3" s="65" t="s">
        <v>111</v>
      </c>
      <c r="T3" s="51" t="s">
        <v>140</v>
      </c>
      <c r="U3" s="65" t="s">
        <v>158</v>
      </c>
      <c r="V3" s="65" t="s">
        <v>173</v>
      </c>
      <c r="W3" s="65" t="s">
        <v>187</v>
      </c>
    </row>
    <row r="4" spans="2:24" x14ac:dyDescent="0.25">
      <c r="B4" s="3">
        <v>15000</v>
      </c>
      <c r="C4" s="50">
        <v>53942.25</v>
      </c>
      <c r="D4" s="50">
        <v>74358</v>
      </c>
      <c r="E4" s="6">
        <v>184700</v>
      </c>
      <c r="F4" s="6">
        <v>254100</v>
      </c>
      <c r="G4" s="6">
        <v>349400</v>
      </c>
      <c r="I4" s="5" t="s">
        <v>25</v>
      </c>
      <c r="J4" s="21" t="s">
        <v>66</v>
      </c>
      <c r="K4" s="16" t="s">
        <v>228</v>
      </c>
      <c r="L4" s="16" t="s">
        <v>16</v>
      </c>
      <c r="M4" s="105">
        <v>26604</v>
      </c>
      <c r="N4" s="20">
        <v>24620.556288442571</v>
      </c>
      <c r="O4" s="24">
        <f>IF(N4&gt;100000,2,1)</f>
        <v>1</v>
      </c>
      <c r="Q4" s="65" t="s">
        <v>68</v>
      </c>
      <c r="R4" s="65" t="s">
        <v>93</v>
      </c>
      <c r="S4" s="65" t="s">
        <v>112</v>
      </c>
      <c r="T4" s="65" t="s">
        <v>141</v>
      </c>
      <c r="U4" s="65" t="s">
        <v>159</v>
      </c>
      <c r="V4" s="65" t="s">
        <v>174</v>
      </c>
      <c r="W4" s="65" t="s">
        <v>188</v>
      </c>
    </row>
    <row r="5" spans="2:24" x14ac:dyDescent="0.25">
      <c r="B5" s="3">
        <v>20000</v>
      </c>
      <c r="C5" s="50">
        <v>53942.25</v>
      </c>
      <c r="D5" s="50">
        <v>86200</v>
      </c>
      <c r="E5" s="6">
        <v>246300</v>
      </c>
      <c r="F5" s="6">
        <v>338800</v>
      </c>
      <c r="G5" s="6">
        <v>465900</v>
      </c>
      <c r="I5" s="5" t="s">
        <v>25</v>
      </c>
      <c r="J5" s="21" t="s">
        <v>67</v>
      </c>
      <c r="K5" s="16" t="s">
        <v>228</v>
      </c>
      <c r="L5" s="16" t="s">
        <v>16</v>
      </c>
      <c r="M5" s="105">
        <v>47162</v>
      </c>
      <c r="N5" s="20">
        <v>47055.858941244602</v>
      </c>
      <c r="O5" s="24">
        <f t="shared" ref="O5:O28" si="0">IF(N5&gt;100000,2,1)</f>
        <v>1</v>
      </c>
      <c r="Q5" s="65" t="s">
        <v>69</v>
      </c>
      <c r="R5" s="65" t="s">
        <v>94</v>
      </c>
      <c r="S5" s="65" t="s">
        <v>113</v>
      </c>
      <c r="T5" s="65" t="s">
        <v>142</v>
      </c>
      <c r="U5" s="65" t="s">
        <v>160</v>
      </c>
      <c r="V5" s="65" t="s">
        <v>175</v>
      </c>
      <c r="W5" s="65" t="s">
        <v>189</v>
      </c>
    </row>
    <row r="6" spans="2:24" x14ac:dyDescent="0.25">
      <c r="B6" s="3">
        <v>25000</v>
      </c>
      <c r="C6" s="50">
        <v>53942.25</v>
      </c>
      <c r="D6" s="50">
        <v>107800</v>
      </c>
      <c r="E6" s="6">
        <v>307900</v>
      </c>
      <c r="F6" s="6">
        <v>423500</v>
      </c>
      <c r="G6" s="6">
        <v>582400</v>
      </c>
      <c r="I6" s="5" t="s">
        <v>25</v>
      </c>
      <c r="J6" s="21" t="s">
        <v>68</v>
      </c>
      <c r="K6" s="16" t="s">
        <v>228</v>
      </c>
      <c r="L6" s="16" t="s">
        <v>16</v>
      </c>
      <c r="M6" s="105">
        <v>37978</v>
      </c>
      <c r="N6" s="20">
        <v>38973.896083969841</v>
      </c>
      <c r="O6" s="24">
        <f t="shared" si="0"/>
        <v>1</v>
      </c>
      <c r="Q6" s="65" t="s">
        <v>70</v>
      </c>
      <c r="R6" s="65" t="s">
        <v>95</v>
      </c>
      <c r="S6" s="65" t="s">
        <v>114</v>
      </c>
      <c r="T6" s="65" t="s">
        <v>143</v>
      </c>
      <c r="U6" s="65" t="s">
        <v>161</v>
      </c>
      <c r="V6" s="65" t="s">
        <v>118</v>
      </c>
      <c r="W6" s="66" t="s">
        <v>190</v>
      </c>
    </row>
    <row r="7" spans="2:24" x14ac:dyDescent="0.25">
      <c r="B7" s="3">
        <v>30000</v>
      </c>
      <c r="C7" s="50">
        <v>53942.25</v>
      </c>
      <c r="D7" s="50">
        <v>129300</v>
      </c>
      <c r="E7" s="6">
        <v>369400</v>
      </c>
      <c r="F7" s="6">
        <v>508200</v>
      </c>
      <c r="G7" s="6">
        <v>698800</v>
      </c>
      <c r="I7" s="5" t="s">
        <v>25</v>
      </c>
      <c r="J7" s="21" t="s">
        <v>69</v>
      </c>
      <c r="K7" s="16" t="s">
        <v>228</v>
      </c>
      <c r="L7" s="16" t="s">
        <v>16</v>
      </c>
      <c r="M7" s="105">
        <v>25320</v>
      </c>
      <c r="N7" s="20">
        <v>21852.20978218938</v>
      </c>
      <c r="O7" s="24">
        <f t="shared" si="0"/>
        <v>1</v>
      </c>
      <c r="Q7" s="65" t="s">
        <v>71</v>
      </c>
      <c r="R7" s="65" t="s">
        <v>96</v>
      </c>
      <c r="S7" s="65" t="s">
        <v>115</v>
      </c>
      <c r="T7" s="65" t="s">
        <v>144</v>
      </c>
      <c r="U7" s="65" t="s">
        <v>162</v>
      </c>
      <c r="V7" s="65" t="s">
        <v>176</v>
      </c>
      <c r="W7" s="67" t="s">
        <v>191</v>
      </c>
    </row>
    <row r="8" spans="2:24" x14ac:dyDescent="0.25">
      <c r="B8" s="3">
        <v>40000</v>
      </c>
      <c r="C8" s="50">
        <v>53942.25</v>
      </c>
      <c r="D8" s="50">
        <v>172400</v>
      </c>
      <c r="E8" s="6">
        <v>492600</v>
      </c>
      <c r="F8" s="6">
        <v>677500</v>
      </c>
      <c r="G8" s="6">
        <v>931800</v>
      </c>
      <c r="I8" s="5" t="s">
        <v>25</v>
      </c>
      <c r="J8" s="21" t="s">
        <v>70</v>
      </c>
      <c r="K8" s="16" t="s">
        <v>228</v>
      </c>
      <c r="L8" s="16" t="s">
        <v>16</v>
      </c>
      <c r="M8" s="106">
        <v>48871</v>
      </c>
      <c r="N8" s="55">
        <v>43589.183222737767</v>
      </c>
      <c r="O8" s="24">
        <f t="shared" si="0"/>
        <v>1</v>
      </c>
      <c r="Q8" s="65" t="s">
        <v>72</v>
      </c>
      <c r="R8" s="65" t="s">
        <v>97</v>
      </c>
      <c r="S8" s="65" t="s">
        <v>116</v>
      </c>
      <c r="T8" s="65" t="s">
        <v>145</v>
      </c>
      <c r="U8" s="65" t="s">
        <v>163</v>
      </c>
      <c r="V8" s="65" t="s">
        <v>185</v>
      </c>
      <c r="W8" s="67" t="s">
        <v>192</v>
      </c>
    </row>
    <row r="9" spans="2:24" x14ac:dyDescent="0.25">
      <c r="B9" s="3">
        <v>50000</v>
      </c>
      <c r="C9" s="50">
        <v>53942.25</v>
      </c>
      <c r="D9" s="50">
        <v>215500</v>
      </c>
      <c r="E9" s="6">
        <v>615700</v>
      </c>
      <c r="F9" s="6">
        <v>846900</v>
      </c>
      <c r="G9" s="6">
        <v>1164700</v>
      </c>
      <c r="I9" s="5" t="s">
        <v>25</v>
      </c>
      <c r="J9" s="21" t="s">
        <v>71</v>
      </c>
      <c r="K9" s="16" t="s">
        <v>228</v>
      </c>
      <c r="L9" s="16" t="s">
        <v>16</v>
      </c>
      <c r="M9" s="105">
        <v>38728</v>
      </c>
      <c r="N9" s="20">
        <v>36562.172369641201</v>
      </c>
      <c r="O9" s="24">
        <f t="shared" si="0"/>
        <v>1</v>
      </c>
      <c r="Q9" s="65" t="s">
        <v>73</v>
      </c>
      <c r="R9" s="65" t="s">
        <v>108</v>
      </c>
      <c r="S9" s="65" t="s">
        <v>117</v>
      </c>
      <c r="T9" s="65" t="s">
        <v>146</v>
      </c>
      <c r="U9" s="65" t="s">
        <v>164</v>
      </c>
      <c r="V9" s="65" t="s">
        <v>177</v>
      </c>
      <c r="W9" s="67" t="s">
        <v>193</v>
      </c>
    </row>
    <row r="10" spans="2:24" x14ac:dyDescent="0.25">
      <c r="B10" s="3">
        <v>80000</v>
      </c>
      <c r="C10" s="50">
        <v>53942.25</v>
      </c>
      <c r="D10" s="50">
        <v>344900</v>
      </c>
      <c r="E10" s="6">
        <v>985100</v>
      </c>
      <c r="F10" s="6">
        <v>1355100</v>
      </c>
      <c r="G10" s="6">
        <v>1863500</v>
      </c>
      <c r="I10" s="5" t="s">
        <v>25</v>
      </c>
      <c r="J10" s="21" t="s">
        <v>72</v>
      </c>
      <c r="K10" s="16" t="s">
        <v>228</v>
      </c>
      <c r="L10" s="16" t="s">
        <v>16</v>
      </c>
      <c r="M10" s="105">
        <v>33276</v>
      </c>
      <c r="N10" s="20">
        <v>32649.485783414861</v>
      </c>
      <c r="O10" s="24">
        <f t="shared" si="0"/>
        <v>1</v>
      </c>
      <c r="Q10" s="65" t="s">
        <v>74</v>
      </c>
      <c r="R10" s="65" t="s">
        <v>98</v>
      </c>
      <c r="S10" s="65" t="s">
        <v>118</v>
      </c>
      <c r="T10" s="51" t="s">
        <v>147</v>
      </c>
      <c r="U10" s="65" t="s">
        <v>165</v>
      </c>
      <c r="V10" s="65" t="s">
        <v>178</v>
      </c>
      <c r="W10" s="67" t="s">
        <v>194</v>
      </c>
    </row>
    <row r="11" spans="2:24" x14ac:dyDescent="0.25">
      <c r="B11" s="3">
        <v>100000</v>
      </c>
      <c r="C11" s="50">
        <v>107884.5</v>
      </c>
      <c r="D11" s="50">
        <v>431100</v>
      </c>
      <c r="E11" s="6">
        <v>1231400</v>
      </c>
      <c r="F11" s="6">
        <v>1693800</v>
      </c>
      <c r="G11" s="6">
        <v>2329400</v>
      </c>
      <c r="I11" s="5" t="s">
        <v>25</v>
      </c>
      <c r="J11" s="21" t="s">
        <v>73</v>
      </c>
      <c r="K11" s="16" t="s">
        <v>228</v>
      </c>
      <c r="L11" s="16" t="s">
        <v>16</v>
      </c>
      <c r="M11" s="105">
        <v>59211</v>
      </c>
      <c r="N11" s="20">
        <v>57687.796473774797</v>
      </c>
      <c r="O11" s="24">
        <f t="shared" si="0"/>
        <v>1</v>
      </c>
      <c r="Q11" s="65" t="s">
        <v>75</v>
      </c>
      <c r="R11" s="65" t="s">
        <v>109</v>
      </c>
      <c r="S11" s="65" t="s">
        <v>119</v>
      </c>
      <c r="T11" s="65" t="s">
        <v>148</v>
      </c>
      <c r="U11" s="65" t="s">
        <v>166</v>
      </c>
      <c r="V11" s="65" t="s">
        <v>179</v>
      </c>
      <c r="W11" s="67" t="s">
        <v>195</v>
      </c>
    </row>
    <row r="12" spans="2:24" x14ac:dyDescent="0.25">
      <c r="B12" s="3">
        <v>150000</v>
      </c>
      <c r="C12" s="50">
        <v>161826.75</v>
      </c>
      <c r="D12" s="50">
        <v>646600</v>
      </c>
      <c r="E12" s="6">
        <v>1847100</v>
      </c>
      <c r="F12" s="6">
        <v>2540800</v>
      </c>
      <c r="G12" s="6">
        <v>3494100</v>
      </c>
      <c r="I12" s="5" t="s">
        <v>25</v>
      </c>
      <c r="J12" s="21" t="s">
        <v>74</v>
      </c>
      <c r="K12" s="16" t="s">
        <v>228</v>
      </c>
      <c r="L12" s="16" t="s">
        <v>16</v>
      </c>
      <c r="M12" s="105">
        <v>31362</v>
      </c>
      <c r="N12" s="20">
        <v>32968.23235245797</v>
      </c>
      <c r="O12" s="24">
        <f t="shared" si="0"/>
        <v>1</v>
      </c>
      <c r="Q12" s="65" t="s">
        <v>76</v>
      </c>
      <c r="R12" s="65" t="s">
        <v>99</v>
      </c>
      <c r="S12" s="65" t="s">
        <v>120</v>
      </c>
      <c r="T12" s="65" t="s">
        <v>149</v>
      </c>
      <c r="U12" s="65" t="s">
        <v>167</v>
      </c>
      <c r="V12" s="65" t="s">
        <v>180</v>
      </c>
      <c r="W12" s="67" t="s">
        <v>196</v>
      </c>
    </row>
    <row r="13" spans="2:24" x14ac:dyDescent="0.25">
      <c r="D13" s="10"/>
      <c r="E13" s="10"/>
      <c r="F13" s="10"/>
      <c r="I13" s="5" t="s">
        <v>25</v>
      </c>
      <c r="J13" s="21" t="s">
        <v>75</v>
      </c>
      <c r="K13" s="16" t="s">
        <v>228</v>
      </c>
      <c r="L13" s="16" t="s">
        <v>16</v>
      </c>
      <c r="M13" s="105">
        <v>34399</v>
      </c>
      <c r="N13" s="20">
        <v>37473.965557056079</v>
      </c>
      <c r="O13" s="24">
        <f t="shared" si="0"/>
        <v>1</v>
      </c>
      <c r="Q13" s="65" t="s">
        <v>77</v>
      </c>
      <c r="R13" s="65" t="s">
        <v>100</v>
      </c>
      <c r="S13" s="65" t="s">
        <v>121</v>
      </c>
      <c r="T13" s="65" t="s">
        <v>150</v>
      </c>
      <c r="U13" s="65" t="s">
        <v>168</v>
      </c>
      <c r="V13" s="65" t="s">
        <v>181</v>
      </c>
      <c r="W13" s="67" t="s">
        <v>197</v>
      </c>
    </row>
    <row r="14" spans="2:24" x14ac:dyDescent="0.25">
      <c r="D14" s="1"/>
      <c r="E14" s="1"/>
      <c r="I14" s="5" t="s">
        <v>25</v>
      </c>
      <c r="J14" s="21" t="s">
        <v>76</v>
      </c>
      <c r="K14" s="16" t="s">
        <v>228</v>
      </c>
      <c r="L14" s="16" t="s">
        <v>16</v>
      </c>
      <c r="M14" s="105">
        <v>29999</v>
      </c>
      <c r="N14" s="20">
        <v>27391.189876905897</v>
      </c>
      <c r="O14" s="24">
        <f t="shared" si="0"/>
        <v>1</v>
      </c>
      <c r="Q14" s="65" t="s">
        <v>78</v>
      </c>
      <c r="R14" s="65" t="s">
        <v>101</v>
      </c>
      <c r="S14" s="65" t="s">
        <v>122</v>
      </c>
      <c r="T14" s="51" t="s">
        <v>151</v>
      </c>
      <c r="U14" s="65" t="s">
        <v>169</v>
      </c>
      <c r="V14" s="65" t="s">
        <v>182</v>
      </c>
      <c r="W14" s="67" t="s">
        <v>198</v>
      </c>
    </row>
    <row r="15" spans="2:24" x14ac:dyDescent="0.25">
      <c r="B15" s="7" t="s">
        <v>63</v>
      </c>
      <c r="C15" s="5"/>
      <c r="I15" s="5" t="s">
        <v>25</v>
      </c>
      <c r="J15" s="21" t="s">
        <v>77</v>
      </c>
      <c r="K15" s="12" t="s">
        <v>228</v>
      </c>
      <c r="L15" s="12" t="s">
        <v>16</v>
      </c>
      <c r="M15" s="105">
        <v>26819</v>
      </c>
      <c r="N15" s="20">
        <v>25650.7998001466</v>
      </c>
      <c r="O15" s="24">
        <f t="shared" si="0"/>
        <v>1</v>
      </c>
      <c r="Q15" s="65" t="s">
        <v>79</v>
      </c>
      <c r="R15" s="65" t="s">
        <v>102</v>
      </c>
      <c r="S15" s="65" t="s">
        <v>123</v>
      </c>
      <c r="T15" s="65" t="s">
        <v>152</v>
      </c>
      <c r="U15" s="65" t="s">
        <v>170</v>
      </c>
      <c r="V15" s="65" t="s">
        <v>183</v>
      </c>
      <c r="W15" t="s">
        <v>202</v>
      </c>
    </row>
    <row r="16" spans="2:24" x14ac:dyDescent="0.25">
      <c r="B16" s="280" t="s">
        <v>29</v>
      </c>
      <c r="C16" s="68">
        <v>64320000</v>
      </c>
      <c r="D16" s="69">
        <v>430222000</v>
      </c>
      <c r="E16" s="70">
        <v>746458000</v>
      </c>
      <c r="F16" s="70">
        <v>1026747000</v>
      </c>
      <c r="G16" s="70">
        <v>1412011000</v>
      </c>
      <c r="H16" s="5"/>
      <c r="I16" s="5" t="s">
        <v>25</v>
      </c>
      <c r="J16" s="21" t="s">
        <v>78</v>
      </c>
      <c r="K16" s="12" t="s">
        <v>228</v>
      </c>
      <c r="L16" s="12" t="s">
        <v>16</v>
      </c>
      <c r="M16" s="105">
        <v>26042</v>
      </c>
      <c r="N16" s="20">
        <v>26260.8867512541</v>
      </c>
      <c r="O16" s="24">
        <f t="shared" si="0"/>
        <v>1</v>
      </c>
      <c r="Q16" s="65" t="s">
        <v>80</v>
      </c>
      <c r="R16" s="65" t="s">
        <v>103</v>
      </c>
      <c r="S16" s="65" t="s">
        <v>124</v>
      </c>
      <c r="T16" s="51" t="s">
        <v>153</v>
      </c>
      <c r="U16" s="65" t="s">
        <v>171</v>
      </c>
      <c r="V16" s="65" t="s">
        <v>184</v>
      </c>
      <c r="W16" t="s">
        <v>203</v>
      </c>
    </row>
    <row r="17" spans="2:23" x14ac:dyDescent="0.25">
      <c r="B17" s="280"/>
      <c r="C17" s="71" t="s">
        <v>5</v>
      </c>
      <c r="D17" s="72" t="s">
        <v>1</v>
      </c>
      <c r="E17" s="13" t="s">
        <v>2</v>
      </c>
      <c r="F17" s="13" t="s">
        <v>3</v>
      </c>
      <c r="G17" s="13" t="s">
        <v>4</v>
      </c>
      <c r="H17" s="5"/>
      <c r="I17" s="5" t="s">
        <v>25</v>
      </c>
      <c r="J17" s="21" t="s">
        <v>79</v>
      </c>
      <c r="K17" s="12" t="s">
        <v>228</v>
      </c>
      <c r="L17" s="12" t="s">
        <v>16</v>
      </c>
      <c r="M17" s="105">
        <v>33885</v>
      </c>
      <c r="N17" s="20">
        <v>32500.29761018003</v>
      </c>
      <c r="O17" s="24">
        <f t="shared" si="0"/>
        <v>1</v>
      </c>
      <c r="Q17" s="65" t="s">
        <v>81</v>
      </c>
      <c r="R17" s="65" t="s">
        <v>104</v>
      </c>
      <c r="S17" s="65" t="s">
        <v>125</v>
      </c>
      <c r="T17" s="65" t="s">
        <v>154</v>
      </c>
      <c r="V17" t="s">
        <v>200</v>
      </c>
      <c r="W17" t="s">
        <v>204</v>
      </c>
    </row>
    <row r="18" spans="2:23" x14ac:dyDescent="0.25">
      <c r="B18" s="8" t="s">
        <v>37</v>
      </c>
      <c r="C18" s="73">
        <f>C16/60334866</f>
        <v>1.066050266855652</v>
      </c>
      <c r="D18" s="73">
        <f>D16/60334866</f>
        <v>7.1305702410940963</v>
      </c>
      <c r="E18" s="74">
        <f>E16/60616648</f>
        <v>12.314405771826909</v>
      </c>
      <c r="F18" s="74">
        <f>F16/60616648</f>
        <v>16.938366502878878</v>
      </c>
      <c r="G18" s="74">
        <f>G16/60616648</f>
        <v>23.294112204950693</v>
      </c>
      <c r="H18" s="5"/>
      <c r="I18" s="5" t="s">
        <v>25</v>
      </c>
      <c r="J18" s="21" t="s">
        <v>80</v>
      </c>
      <c r="K18" s="12" t="s">
        <v>228</v>
      </c>
      <c r="L18" s="12" t="s">
        <v>16</v>
      </c>
      <c r="M18" s="105">
        <v>51811</v>
      </c>
      <c r="N18" s="20">
        <v>54730.366268025806</v>
      </c>
      <c r="O18" s="24">
        <f t="shared" si="0"/>
        <v>1</v>
      </c>
      <c r="Q18" s="65" t="s">
        <v>89</v>
      </c>
      <c r="R18" s="65" t="s">
        <v>105</v>
      </c>
      <c r="S18" s="65" t="s">
        <v>126</v>
      </c>
      <c r="T18" s="65" t="s">
        <v>155</v>
      </c>
      <c r="V18" t="s">
        <v>201</v>
      </c>
    </row>
    <row r="19" spans="2:23" x14ac:dyDescent="0.25">
      <c r="H19" s="5"/>
      <c r="I19" s="5" t="s">
        <v>25</v>
      </c>
      <c r="J19" s="21" t="s">
        <v>81</v>
      </c>
      <c r="K19" s="12" t="s">
        <v>228</v>
      </c>
      <c r="L19" s="12" t="s">
        <v>16</v>
      </c>
      <c r="M19" s="105">
        <v>17876</v>
      </c>
      <c r="N19" s="20">
        <v>17795.875228991779</v>
      </c>
      <c r="O19" s="24">
        <f t="shared" si="0"/>
        <v>1</v>
      </c>
      <c r="Q19" s="65" t="s">
        <v>82</v>
      </c>
      <c r="R19" s="65" t="s">
        <v>106</v>
      </c>
      <c r="S19" s="65" t="s">
        <v>127</v>
      </c>
      <c r="T19" s="65" t="s">
        <v>156</v>
      </c>
    </row>
    <row r="20" spans="2:23" ht="15" customHeight="1" x14ac:dyDescent="0.25">
      <c r="H20" s="5"/>
      <c r="I20" s="5" t="s">
        <v>25</v>
      </c>
      <c r="J20" s="21" t="s">
        <v>82</v>
      </c>
      <c r="K20" s="12" t="s">
        <v>228</v>
      </c>
      <c r="L20" s="12" t="s">
        <v>16</v>
      </c>
      <c r="M20" s="105">
        <v>32049</v>
      </c>
      <c r="N20" s="20">
        <v>32295.147054789893</v>
      </c>
      <c r="O20" s="24">
        <f t="shared" si="0"/>
        <v>1</v>
      </c>
      <c r="Q20" s="65" t="s">
        <v>90</v>
      </c>
      <c r="R20" s="65" t="s">
        <v>107</v>
      </c>
      <c r="S20" s="65" t="s">
        <v>128</v>
      </c>
    </row>
    <row r="21" spans="2:23" x14ac:dyDescent="0.25">
      <c r="B21" s="7" t="s">
        <v>225</v>
      </c>
      <c r="H21" s="5"/>
      <c r="I21" s="5" t="s">
        <v>25</v>
      </c>
      <c r="J21" s="21" t="s">
        <v>83</v>
      </c>
      <c r="K21" s="12" t="s">
        <v>228</v>
      </c>
      <c r="L21" s="12" t="s">
        <v>16</v>
      </c>
      <c r="M21" s="105">
        <v>31795</v>
      </c>
      <c r="N21" s="20">
        <v>39014.015635478587</v>
      </c>
      <c r="O21" s="24">
        <f t="shared" si="0"/>
        <v>1</v>
      </c>
      <c r="Q21" s="65" t="s">
        <v>83</v>
      </c>
      <c r="S21" s="65" t="s">
        <v>129</v>
      </c>
    </row>
    <row r="22" spans="2:23" x14ac:dyDescent="0.25">
      <c r="B22" s="280" t="s">
        <v>221</v>
      </c>
      <c r="C22" s="13" t="s">
        <v>2</v>
      </c>
      <c r="D22" s="13" t="s">
        <v>2</v>
      </c>
      <c r="E22" s="13" t="s">
        <v>2</v>
      </c>
      <c r="H22" s="5"/>
      <c r="I22" s="5" t="s">
        <v>25</v>
      </c>
      <c r="J22" s="21" t="s">
        <v>84</v>
      </c>
      <c r="K22" s="12" t="s">
        <v>228</v>
      </c>
      <c r="L22" s="12" t="s">
        <v>16</v>
      </c>
      <c r="M22" s="105">
        <v>68388</v>
      </c>
      <c r="N22" s="20">
        <v>66767.77900345852</v>
      </c>
      <c r="O22" s="24">
        <f t="shared" si="0"/>
        <v>1</v>
      </c>
      <c r="Q22" s="65" t="s">
        <v>84</v>
      </c>
      <c r="S22" s="65" t="s">
        <v>130</v>
      </c>
    </row>
    <row r="23" spans="2:23" ht="45" x14ac:dyDescent="0.25">
      <c r="B23" s="280"/>
      <c r="C23" s="122" t="s">
        <v>222</v>
      </c>
      <c r="D23" s="120" t="s">
        <v>223</v>
      </c>
      <c r="E23" s="121" t="s">
        <v>224</v>
      </c>
      <c r="H23" s="5"/>
      <c r="I23" s="5" t="s">
        <v>25</v>
      </c>
      <c r="J23" s="21" t="s">
        <v>85</v>
      </c>
      <c r="K23" s="12" t="s">
        <v>228</v>
      </c>
      <c r="L23" s="12" t="s">
        <v>16</v>
      </c>
      <c r="M23" s="105">
        <v>49876</v>
      </c>
      <c r="N23" s="20">
        <v>45647.802034350199</v>
      </c>
      <c r="O23" s="24">
        <f t="shared" si="0"/>
        <v>1</v>
      </c>
      <c r="Q23" s="65" t="s">
        <v>85</v>
      </c>
      <c r="S23" s="65" t="s">
        <v>131</v>
      </c>
    </row>
    <row r="24" spans="2:23" x14ac:dyDescent="0.25">
      <c r="B24" s="115" t="s">
        <v>228</v>
      </c>
      <c r="C24" s="113">
        <v>6306000</v>
      </c>
      <c r="D24" s="116">
        <v>5026000</v>
      </c>
      <c r="E24" s="117">
        <v>11332000</v>
      </c>
      <c r="F24" s="111"/>
      <c r="H24" s="5"/>
      <c r="I24" s="5" t="s">
        <v>25</v>
      </c>
      <c r="J24" s="21" t="s">
        <v>86</v>
      </c>
      <c r="K24" s="12" t="s">
        <v>228</v>
      </c>
      <c r="L24" s="12" t="s">
        <v>16</v>
      </c>
      <c r="M24" s="105">
        <v>26080</v>
      </c>
      <c r="N24" s="20">
        <v>20118.038540297159</v>
      </c>
      <c r="O24" s="24">
        <f t="shared" si="0"/>
        <v>1</v>
      </c>
      <c r="Q24" s="65" t="s">
        <v>86</v>
      </c>
      <c r="S24" s="65" t="s">
        <v>33</v>
      </c>
    </row>
    <row r="25" spans="2:23" x14ac:dyDescent="0.25">
      <c r="B25" s="115" t="s">
        <v>229</v>
      </c>
      <c r="C25" s="113">
        <v>6664000</v>
      </c>
      <c r="D25" s="116">
        <v>5311000</v>
      </c>
      <c r="E25" s="117">
        <v>11975000</v>
      </c>
      <c r="F25" s="111"/>
      <c r="H25" s="5"/>
      <c r="I25" s="5" t="s">
        <v>25</v>
      </c>
      <c r="J25" s="21" t="s">
        <v>87</v>
      </c>
      <c r="K25" s="12" t="s">
        <v>228</v>
      </c>
      <c r="L25" s="12" t="s">
        <v>16</v>
      </c>
      <c r="M25" s="105">
        <v>40833</v>
      </c>
      <c r="N25" s="20">
        <v>43916.794038291198</v>
      </c>
      <c r="O25" s="24">
        <f t="shared" si="0"/>
        <v>1</v>
      </c>
      <c r="Q25" s="65" t="s">
        <v>87</v>
      </c>
      <c r="S25" s="65" t="s">
        <v>132</v>
      </c>
    </row>
    <row r="26" spans="2:23" x14ac:dyDescent="0.25">
      <c r="B26" s="115" t="s">
        <v>230</v>
      </c>
      <c r="C26" s="113">
        <v>8421000</v>
      </c>
      <c r="D26" s="116">
        <v>6711000</v>
      </c>
      <c r="E26" s="117">
        <v>15132000</v>
      </c>
      <c r="F26" s="111"/>
      <c r="H26" s="5"/>
      <c r="I26" s="5" t="s">
        <v>25</v>
      </c>
      <c r="J26" s="21" t="s">
        <v>88</v>
      </c>
      <c r="K26" s="12" t="s">
        <v>228</v>
      </c>
      <c r="L26" s="12" t="s">
        <v>16</v>
      </c>
      <c r="M26" s="105">
        <v>52314</v>
      </c>
      <c r="N26" s="20">
        <v>52955.30011290712</v>
      </c>
      <c r="O26" s="24">
        <f t="shared" si="0"/>
        <v>1</v>
      </c>
      <c r="Q26" s="65" t="s">
        <v>88</v>
      </c>
      <c r="S26" s="65" t="s">
        <v>133</v>
      </c>
    </row>
    <row r="27" spans="2:23" x14ac:dyDescent="0.25">
      <c r="B27" s="115" t="s">
        <v>231</v>
      </c>
      <c r="C27" s="113">
        <v>5626000</v>
      </c>
      <c r="D27" s="116">
        <v>4484000</v>
      </c>
      <c r="E27" s="117">
        <v>10110000</v>
      </c>
      <c r="F27" s="111"/>
      <c r="H27" s="5"/>
      <c r="I27" s="5" t="s">
        <v>25</v>
      </c>
      <c r="J27" s="21" t="s">
        <v>89</v>
      </c>
      <c r="K27" s="12" t="s">
        <v>228</v>
      </c>
      <c r="L27" s="12" t="s">
        <v>16</v>
      </c>
      <c r="M27" s="107">
        <v>36592</v>
      </c>
      <c r="N27" s="20">
        <v>36332.459383221401</v>
      </c>
      <c r="O27" s="24">
        <f t="shared" si="0"/>
        <v>1</v>
      </c>
      <c r="Q27" t="s">
        <v>199</v>
      </c>
      <c r="S27" s="65" t="s">
        <v>134</v>
      </c>
    </row>
    <row r="28" spans="2:23" x14ac:dyDescent="0.25">
      <c r="B28" s="115" t="s">
        <v>232</v>
      </c>
      <c r="C28" s="113">
        <v>4384000</v>
      </c>
      <c r="D28" s="116">
        <v>3494000</v>
      </c>
      <c r="E28" s="117">
        <v>7878000</v>
      </c>
      <c r="F28" s="111"/>
      <c r="H28" s="5"/>
      <c r="I28" s="5" t="s">
        <v>25</v>
      </c>
      <c r="J28" s="21" t="s">
        <v>90</v>
      </c>
      <c r="K28" s="12" t="s">
        <v>228</v>
      </c>
      <c r="L28" s="12" t="s">
        <v>16</v>
      </c>
      <c r="M28" s="107">
        <v>37457</v>
      </c>
      <c r="N28" s="20">
        <v>39935.03215165843</v>
      </c>
      <c r="O28" s="24">
        <f t="shared" si="0"/>
        <v>1</v>
      </c>
      <c r="S28" s="65" t="s">
        <v>135</v>
      </c>
    </row>
    <row r="29" spans="2:23" ht="15.75" thickBot="1" x14ac:dyDescent="0.3">
      <c r="B29" s="115" t="s">
        <v>233</v>
      </c>
      <c r="C29" s="113">
        <v>4185000</v>
      </c>
      <c r="D29" s="116">
        <v>3335000</v>
      </c>
      <c r="E29" s="117">
        <v>7520000</v>
      </c>
      <c r="F29" s="111"/>
      <c r="G29" s="31"/>
      <c r="H29" s="5"/>
      <c r="I29" s="5" t="s">
        <v>35</v>
      </c>
      <c r="J29" s="21" t="s">
        <v>199</v>
      </c>
      <c r="K29" s="12" t="s">
        <v>228</v>
      </c>
      <c r="L29" s="12" t="s">
        <v>16</v>
      </c>
      <c r="M29" s="107">
        <v>12119</v>
      </c>
      <c r="N29" s="20">
        <v>11135.0384457866</v>
      </c>
      <c r="O29" s="64"/>
      <c r="S29" s="65" t="s">
        <v>136</v>
      </c>
    </row>
    <row r="30" spans="2:23" ht="15.75" thickBot="1" x14ac:dyDescent="0.3">
      <c r="B30" s="118" t="s">
        <v>234</v>
      </c>
      <c r="C30" s="114">
        <v>3964000</v>
      </c>
      <c r="D30" s="112">
        <v>3159000</v>
      </c>
      <c r="E30" s="119">
        <v>7123000</v>
      </c>
      <c r="F30" s="111"/>
      <c r="H30" s="5"/>
      <c r="I30" s="57" t="s">
        <v>15</v>
      </c>
      <c r="J30" s="52" t="s">
        <v>229</v>
      </c>
      <c r="K30" s="53"/>
      <c r="L30" s="53"/>
      <c r="M30" s="58">
        <f>SUM(M31:M49)</f>
        <v>1042122</v>
      </c>
      <c r="N30" s="58">
        <f>SUM(N31:N49)</f>
        <v>978664.0369715346</v>
      </c>
      <c r="O30" s="59">
        <f>SUMIFS(O:O,K:K,J30)</f>
        <v>20</v>
      </c>
      <c r="S30" s="65" t="s">
        <v>137</v>
      </c>
    </row>
    <row r="31" spans="2:23" x14ac:dyDescent="0.25">
      <c r="B31" s="118" t="s">
        <v>235</v>
      </c>
      <c r="C31" s="114">
        <v>39550000</v>
      </c>
      <c r="D31" s="112">
        <v>31520000</v>
      </c>
      <c r="E31" s="119">
        <v>71070000</v>
      </c>
      <c r="F31" s="111"/>
      <c r="H31" s="5"/>
      <c r="I31" s="5" t="s">
        <v>25</v>
      </c>
      <c r="J31" s="21" t="s">
        <v>91</v>
      </c>
      <c r="K31" s="12" t="s">
        <v>229</v>
      </c>
      <c r="L31" s="12" t="s">
        <v>18</v>
      </c>
      <c r="M31" s="107">
        <v>53744</v>
      </c>
      <c r="N31" s="20">
        <v>48866.406640758156</v>
      </c>
      <c r="O31" s="24">
        <f>IF(N31&gt;100000,2,1)</f>
        <v>1</v>
      </c>
      <c r="S31" s="65" t="s">
        <v>34</v>
      </c>
    </row>
    <row r="32" spans="2:23" x14ac:dyDescent="0.25">
      <c r="C32" s="18"/>
      <c r="D32" s="18"/>
      <c r="E32" s="18"/>
      <c r="H32" s="5"/>
      <c r="I32" s="5" t="s">
        <v>25</v>
      </c>
      <c r="J32" s="21" t="s">
        <v>92</v>
      </c>
      <c r="K32" s="12" t="s">
        <v>229</v>
      </c>
      <c r="L32" s="12" t="s">
        <v>18</v>
      </c>
      <c r="M32" s="107">
        <v>51051</v>
      </c>
      <c r="N32" s="20">
        <v>47729.002115449752</v>
      </c>
      <c r="O32" s="24">
        <f t="shared" ref="O32:O49" si="1">IF(N32&gt;100000,2,1)</f>
        <v>1</v>
      </c>
      <c r="S32" s="65" t="s">
        <v>138</v>
      </c>
    </row>
    <row r="33" spans="2:24" x14ac:dyDescent="0.25">
      <c r="H33" s="5"/>
      <c r="I33" s="5" t="s">
        <v>25</v>
      </c>
      <c r="J33" s="21" t="s">
        <v>93</v>
      </c>
      <c r="K33" s="12" t="s">
        <v>229</v>
      </c>
      <c r="L33" s="12" t="s">
        <v>18</v>
      </c>
      <c r="M33" s="107">
        <v>37639</v>
      </c>
      <c r="N33" s="20">
        <v>36333.698855985902</v>
      </c>
      <c r="O33" s="24">
        <f t="shared" si="1"/>
        <v>1</v>
      </c>
    </row>
    <row r="34" spans="2:24" x14ac:dyDescent="0.25">
      <c r="H34" s="5"/>
      <c r="I34" s="5" t="s">
        <v>25</v>
      </c>
      <c r="J34" s="21" t="s">
        <v>94</v>
      </c>
      <c r="K34" s="12" t="s">
        <v>229</v>
      </c>
      <c r="L34" s="12" t="s">
        <v>18</v>
      </c>
      <c r="M34" s="107">
        <v>85457</v>
      </c>
      <c r="N34" s="20">
        <v>83285.448752152297</v>
      </c>
      <c r="O34" s="24">
        <f t="shared" si="1"/>
        <v>1</v>
      </c>
    </row>
    <row r="35" spans="2:24" ht="15.75" customHeight="1" x14ac:dyDescent="0.25">
      <c r="B35" s="279"/>
      <c r="C35" s="279"/>
      <c r="D35" s="279"/>
      <c r="E35" s="279"/>
      <c r="F35" s="279"/>
      <c r="H35" s="5"/>
      <c r="I35" s="5" t="s">
        <v>25</v>
      </c>
      <c r="J35" s="21" t="s">
        <v>95</v>
      </c>
      <c r="K35" s="12" t="s">
        <v>229</v>
      </c>
      <c r="L35" s="12" t="s">
        <v>18</v>
      </c>
      <c r="M35" s="107">
        <v>54598</v>
      </c>
      <c r="N35" s="20">
        <v>51201.064243447647</v>
      </c>
      <c r="O35" s="24">
        <f t="shared" si="1"/>
        <v>1</v>
      </c>
      <c r="Q35" s="275" t="s">
        <v>241</v>
      </c>
      <c r="R35" s="276"/>
      <c r="S35" s="276"/>
      <c r="T35" s="276"/>
      <c r="U35" s="276"/>
      <c r="V35" s="276"/>
      <c r="W35" s="276"/>
      <c r="X35" s="277"/>
    </row>
    <row r="36" spans="2:24" x14ac:dyDescent="0.25">
      <c r="B36" s="15"/>
      <c r="H36" s="5"/>
      <c r="I36" s="5" t="s">
        <v>25</v>
      </c>
      <c r="J36" s="21" t="s">
        <v>96</v>
      </c>
      <c r="K36" s="12" t="s">
        <v>229</v>
      </c>
      <c r="L36" s="12" t="s">
        <v>18</v>
      </c>
      <c r="M36" s="107">
        <v>37983</v>
      </c>
      <c r="N36" s="20">
        <v>35892.512414931902</v>
      </c>
      <c r="O36" s="24">
        <f t="shared" si="1"/>
        <v>1</v>
      </c>
    </row>
    <row r="37" spans="2:24" x14ac:dyDescent="0.25">
      <c r="B37" s="9"/>
      <c r="H37" s="5"/>
      <c r="I37" s="5" t="s">
        <v>25</v>
      </c>
      <c r="J37" s="21" t="s">
        <v>97</v>
      </c>
      <c r="K37" s="12" t="s">
        <v>229</v>
      </c>
      <c r="L37" s="12" t="s">
        <v>18</v>
      </c>
      <c r="M37" s="107">
        <v>47451</v>
      </c>
      <c r="N37" s="20">
        <v>39950.927078439301</v>
      </c>
      <c r="O37" s="24">
        <f t="shared" si="1"/>
        <v>1</v>
      </c>
    </row>
    <row r="38" spans="2:24" x14ac:dyDescent="0.25">
      <c r="H38" s="5"/>
      <c r="I38" s="5" t="s">
        <v>25</v>
      </c>
      <c r="J38" s="21" t="s">
        <v>98</v>
      </c>
      <c r="K38" s="12" t="s">
        <v>229</v>
      </c>
      <c r="L38" s="12" t="s">
        <v>18</v>
      </c>
      <c r="M38" s="107">
        <v>71903</v>
      </c>
      <c r="N38" s="20">
        <v>55970.580572373103</v>
      </c>
      <c r="O38" s="24">
        <f t="shared" si="1"/>
        <v>1</v>
      </c>
    </row>
    <row r="39" spans="2:24" x14ac:dyDescent="0.25">
      <c r="H39" s="5"/>
      <c r="I39" s="5" t="s">
        <v>25</v>
      </c>
      <c r="J39" s="21" t="s">
        <v>99</v>
      </c>
      <c r="K39" s="12" t="s">
        <v>229</v>
      </c>
      <c r="L39" s="12" t="s">
        <v>18</v>
      </c>
      <c r="M39" s="107">
        <v>68926</v>
      </c>
      <c r="N39" s="20">
        <v>63134.082051680882</v>
      </c>
      <c r="O39" s="24">
        <f t="shared" si="1"/>
        <v>1</v>
      </c>
    </row>
    <row r="40" spans="2:24" x14ac:dyDescent="0.25">
      <c r="H40" s="5"/>
      <c r="I40" s="5" t="s">
        <v>25</v>
      </c>
      <c r="J40" s="21" t="s">
        <v>100</v>
      </c>
      <c r="K40" s="12" t="s">
        <v>229</v>
      </c>
      <c r="L40" s="12" t="s">
        <v>18</v>
      </c>
      <c r="M40" s="107">
        <v>43449</v>
      </c>
      <c r="N40" s="20">
        <v>44578.932465278602</v>
      </c>
      <c r="O40" s="24">
        <f t="shared" si="1"/>
        <v>1</v>
      </c>
    </row>
    <row r="41" spans="2:24" x14ac:dyDescent="0.25">
      <c r="H41" s="5"/>
      <c r="I41" s="5" t="s">
        <v>25</v>
      </c>
      <c r="J41" s="21" t="s">
        <v>101</v>
      </c>
      <c r="K41" s="12" t="s">
        <v>229</v>
      </c>
      <c r="L41" s="12" t="s">
        <v>18</v>
      </c>
      <c r="M41" s="107">
        <v>38085</v>
      </c>
      <c r="N41" s="20">
        <v>32235.031419102201</v>
      </c>
      <c r="O41" s="24">
        <f t="shared" si="1"/>
        <v>1</v>
      </c>
    </row>
    <row r="42" spans="2:24" x14ac:dyDescent="0.25">
      <c r="H42" s="5"/>
      <c r="I42" s="5" t="s">
        <v>25</v>
      </c>
      <c r="J42" s="21" t="s">
        <v>102</v>
      </c>
      <c r="K42" s="12" t="s">
        <v>229</v>
      </c>
      <c r="L42" s="12" t="s">
        <v>18</v>
      </c>
      <c r="M42" s="107">
        <v>94308</v>
      </c>
      <c r="N42" s="20">
        <v>101708.9001503593</v>
      </c>
      <c r="O42" s="24">
        <f t="shared" si="1"/>
        <v>2</v>
      </c>
    </row>
    <row r="43" spans="2:24" x14ac:dyDescent="0.25">
      <c r="H43" s="5"/>
      <c r="I43" s="5" t="s">
        <v>25</v>
      </c>
      <c r="J43" s="21" t="s">
        <v>103</v>
      </c>
      <c r="K43" s="12" t="s">
        <v>229</v>
      </c>
      <c r="L43" s="12" t="s">
        <v>18</v>
      </c>
      <c r="M43" s="107">
        <v>32232</v>
      </c>
      <c r="N43" s="20">
        <v>32685.830453908631</v>
      </c>
      <c r="O43" s="24">
        <f t="shared" si="1"/>
        <v>1</v>
      </c>
    </row>
    <row r="44" spans="2:24" x14ac:dyDescent="0.25">
      <c r="H44" s="5"/>
      <c r="I44" s="5" t="s">
        <v>25</v>
      </c>
      <c r="J44" s="21" t="s">
        <v>104</v>
      </c>
      <c r="K44" s="12" t="s">
        <v>229</v>
      </c>
      <c r="L44" s="12" t="s">
        <v>18</v>
      </c>
      <c r="M44" s="107">
        <v>60424</v>
      </c>
      <c r="N44" s="20">
        <v>48256.832036598746</v>
      </c>
      <c r="O44" s="24">
        <f t="shared" si="1"/>
        <v>1</v>
      </c>
    </row>
    <row r="45" spans="2:24" x14ac:dyDescent="0.25">
      <c r="H45" s="5"/>
      <c r="I45" s="5" t="s">
        <v>25</v>
      </c>
      <c r="J45" s="21" t="s">
        <v>105</v>
      </c>
      <c r="K45" s="12" t="s">
        <v>229</v>
      </c>
      <c r="L45" s="12" t="s">
        <v>18</v>
      </c>
      <c r="M45" s="107">
        <v>77028</v>
      </c>
      <c r="N45" s="20">
        <v>75168.31678936453</v>
      </c>
      <c r="O45" s="24">
        <f t="shared" si="1"/>
        <v>1</v>
      </c>
    </row>
    <row r="46" spans="2:24" x14ac:dyDescent="0.25">
      <c r="H46" s="5"/>
      <c r="I46" s="5" t="s">
        <v>25</v>
      </c>
      <c r="J46" s="21" t="s">
        <v>106</v>
      </c>
      <c r="K46" s="12" t="s">
        <v>229</v>
      </c>
      <c r="L46" s="12" t="s">
        <v>18</v>
      </c>
      <c r="M46" s="107">
        <v>32816</v>
      </c>
      <c r="N46" s="20">
        <v>32091.0999138927</v>
      </c>
      <c r="O46" s="24">
        <f t="shared" si="1"/>
        <v>1</v>
      </c>
    </row>
    <row r="47" spans="2:24" x14ac:dyDescent="0.25">
      <c r="H47" s="5"/>
      <c r="I47" s="5" t="s">
        <v>25</v>
      </c>
      <c r="J47" s="21" t="s">
        <v>107</v>
      </c>
      <c r="K47" s="12" t="s">
        <v>229</v>
      </c>
      <c r="L47" s="12" t="s">
        <v>18</v>
      </c>
      <c r="M47" s="107">
        <v>58234</v>
      </c>
      <c r="N47" s="20">
        <v>55908.381293066981</v>
      </c>
      <c r="O47" s="24">
        <f t="shared" si="1"/>
        <v>1</v>
      </c>
    </row>
    <row r="48" spans="2:24" x14ac:dyDescent="0.25">
      <c r="H48" s="5"/>
      <c r="I48" s="5" t="s">
        <v>25</v>
      </c>
      <c r="J48" s="21" t="s">
        <v>108</v>
      </c>
      <c r="K48" s="12" t="s">
        <v>229</v>
      </c>
      <c r="L48" s="12" t="s">
        <v>18</v>
      </c>
      <c r="M48" s="107">
        <v>51830</v>
      </c>
      <c r="N48" s="20">
        <v>49164.793160022207</v>
      </c>
      <c r="O48" s="24">
        <f t="shared" si="1"/>
        <v>1</v>
      </c>
    </row>
    <row r="49" spans="8:15" ht="15.75" thickBot="1" x14ac:dyDescent="0.3">
      <c r="H49" s="5"/>
      <c r="I49" s="5" t="s">
        <v>25</v>
      </c>
      <c r="J49" s="21" t="s">
        <v>109</v>
      </c>
      <c r="K49" s="12" t="s">
        <v>229</v>
      </c>
      <c r="L49" s="12" t="s">
        <v>18</v>
      </c>
      <c r="M49" s="107">
        <v>44964</v>
      </c>
      <c r="N49" s="20">
        <v>44502.1965647217</v>
      </c>
      <c r="O49" s="24">
        <f t="shared" si="1"/>
        <v>1</v>
      </c>
    </row>
    <row r="50" spans="8:15" ht="15.75" thickBot="1" x14ac:dyDescent="0.3">
      <c r="H50" s="5"/>
      <c r="I50" s="57" t="s">
        <v>15</v>
      </c>
      <c r="J50" s="52" t="s">
        <v>230</v>
      </c>
      <c r="K50" s="61"/>
      <c r="L50" s="61"/>
      <c r="M50" s="60">
        <f>SUM(M51:M81)</f>
        <v>1252983</v>
      </c>
      <c r="N50" s="60">
        <f>SUM(N51:N81)</f>
        <v>1295568.4527625814</v>
      </c>
      <c r="O50" s="59">
        <f>SUMIFS(O:O,K:K,J50)</f>
        <v>31</v>
      </c>
    </row>
    <row r="51" spans="8:15" x14ac:dyDescent="0.25">
      <c r="H51" s="5"/>
      <c r="I51" s="5" t="s">
        <v>25</v>
      </c>
      <c r="J51" s="21" t="s">
        <v>110</v>
      </c>
      <c r="K51" s="12" t="s">
        <v>230</v>
      </c>
      <c r="L51" s="12" t="s">
        <v>32</v>
      </c>
      <c r="M51" s="107">
        <v>50676</v>
      </c>
      <c r="N51" s="20">
        <v>51232.986243577936</v>
      </c>
      <c r="O51" s="24">
        <f>IF(N51&gt;100000,2,1)</f>
        <v>1</v>
      </c>
    </row>
    <row r="52" spans="8:15" x14ac:dyDescent="0.25">
      <c r="H52" s="5"/>
      <c r="I52" s="5" t="s">
        <v>25</v>
      </c>
      <c r="J52" s="21" t="s">
        <v>111</v>
      </c>
      <c r="K52" s="12" t="s">
        <v>230</v>
      </c>
      <c r="L52" s="12" t="s">
        <v>32</v>
      </c>
      <c r="M52" s="107">
        <v>53121</v>
      </c>
      <c r="N52" s="20">
        <v>57822.868029730802</v>
      </c>
      <c r="O52" s="24">
        <f t="shared" ref="O52:O81" si="2">IF(N52&gt;100000,2,1)</f>
        <v>1</v>
      </c>
    </row>
    <row r="53" spans="8:15" x14ac:dyDescent="0.25">
      <c r="H53" s="5"/>
      <c r="I53" s="5" t="s">
        <v>25</v>
      </c>
      <c r="J53" s="21" t="s">
        <v>112</v>
      </c>
      <c r="K53" s="12" t="s">
        <v>230</v>
      </c>
      <c r="L53" s="12" t="s">
        <v>32</v>
      </c>
      <c r="M53" s="107">
        <v>42881</v>
      </c>
      <c r="N53" s="20">
        <v>40018.348869966998</v>
      </c>
      <c r="O53" s="24">
        <f t="shared" si="2"/>
        <v>1</v>
      </c>
    </row>
    <row r="54" spans="8:15" x14ac:dyDescent="0.25">
      <c r="H54" s="5"/>
      <c r="I54" s="5" t="s">
        <v>25</v>
      </c>
      <c r="J54" s="21" t="s">
        <v>113</v>
      </c>
      <c r="K54" s="12" t="s">
        <v>230</v>
      </c>
      <c r="L54" s="12" t="s">
        <v>32</v>
      </c>
      <c r="M54" s="107">
        <v>43584</v>
      </c>
      <c r="N54" s="20">
        <v>45388.052265592996</v>
      </c>
      <c r="O54" s="24">
        <f t="shared" si="2"/>
        <v>1</v>
      </c>
    </row>
    <row r="55" spans="8:15" x14ac:dyDescent="0.25">
      <c r="H55" s="5"/>
      <c r="I55" s="5" t="s">
        <v>25</v>
      </c>
      <c r="J55" s="21" t="s">
        <v>114</v>
      </c>
      <c r="K55" s="12" t="s">
        <v>230</v>
      </c>
      <c r="L55" s="12" t="s">
        <v>32</v>
      </c>
      <c r="M55" s="107">
        <v>36751</v>
      </c>
      <c r="N55" s="20">
        <v>37392.403271433366</v>
      </c>
      <c r="O55" s="24">
        <f t="shared" si="2"/>
        <v>1</v>
      </c>
    </row>
    <row r="56" spans="8:15" x14ac:dyDescent="0.25">
      <c r="H56" s="5"/>
      <c r="I56" s="5" t="s">
        <v>25</v>
      </c>
      <c r="J56" s="21" t="s">
        <v>115</v>
      </c>
      <c r="K56" s="12" t="s">
        <v>230</v>
      </c>
      <c r="L56" s="12" t="s">
        <v>32</v>
      </c>
      <c r="M56" s="107">
        <v>52931</v>
      </c>
      <c r="N56" s="20">
        <v>54518.797884118649</v>
      </c>
      <c r="O56" s="24">
        <f t="shared" si="2"/>
        <v>1</v>
      </c>
    </row>
    <row r="57" spans="8:15" x14ac:dyDescent="0.25">
      <c r="H57" s="5"/>
      <c r="I57" s="5" t="s">
        <v>25</v>
      </c>
      <c r="J57" s="21" t="s">
        <v>116</v>
      </c>
      <c r="K57" s="12" t="s">
        <v>230</v>
      </c>
      <c r="L57" s="12" t="s">
        <v>32</v>
      </c>
      <c r="M57" s="107">
        <v>36647</v>
      </c>
      <c r="N57" s="20">
        <v>34450.724230336178</v>
      </c>
      <c r="O57" s="24">
        <f t="shared" si="2"/>
        <v>1</v>
      </c>
    </row>
    <row r="58" spans="8:15" x14ac:dyDescent="0.25">
      <c r="H58" s="5"/>
      <c r="I58" s="5" t="s">
        <v>25</v>
      </c>
      <c r="J58" s="21" t="s">
        <v>117</v>
      </c>
      <c r="K58" s="12" t="s">
        <v>230</v>
      </c>
      <c r="L58" s="12" t="s">
        <v>32</v>
      </c>
      <c r="M58" s="107">
        <v>44134</v>
      </c>
      <c r="N58" s="20">
        <v>35525.58009849325</v>
      </c>
      <c r="O58" s="24">
        <f t="shared" si="2"/>
        <v>1</v>
      </c>
    </row>
    <row r="59" spans="8:15" x14ac:dyDescent="0.25">
      <c r="H59" s="5"/>
      <c r="I59" s="5" t="s">
        <v>25</v>
      </c>
      <c r="J59" s="21" t="s">
        <v>118</v>
      </c>
      <c r="K59" s="12" t="s">
        <v>230</v>
      </c>
      <c r="L59" s="12" t="s">
        <v>32</v>
      </c>
      <c r="M59" s="107">
        <v>17674</v>
      </c>
      <c r="N59" s="20">
        <v>21644.04493216837</v>
      </c>
      <c r="O59" s="24">
        <f t="shared" si="2"/>
        <v>1</v>
      </c>
    </row>
    <row r="60" spans="8:15" x14ac:dyDescent="0.25">
      <c r="H60" s="5"/>
      <c r="I60" s="5" t="s">
        <v>25</v>
      </c>
      <c r="J60" s="21" t="s">
        <v>119</v>
      </c>
      <c r="K60" s="12" t="s">
        <v>230</v>
      </c>
      <c r="L60" s="12" t="s">
        <v>32</v>
      </c>
      <c r="M60" s="107">
        <v>48347</v>
      </c>
      <c r="N60" s="20">
        <v>52973.941970497603</v>
      </c>
      <c r="O60" s="24">
        <f t="shared" si="2"/>
        <v>1</v>
      </c>
    </row>
    <row r="61" spans="8:15" x14ac:dyDescent="0.25">
      <c r="H61" s="5"/>
      <c r="I61" s="5" t="s">
        <v>25</v>
      </c>
      <c r="J61" s="21" t="s">
        <v>120</v>
      </c>
      <c r="K61" s="12" t="s">
        <v>230</v>
      </c>
      <c r="L61" s="12" t="s">
        <v>32</v>
      </c>
      <c r="M61" s="107">
        <v>39201</v>
      </c>
      <c r="N61" s="20">
        <v>41360.698798161196</v>
      </c>
      <c r="O61" s="24">
        <f t="shared" si="2"/>
        <v>1</v>
      </c>
    </row>
    <row r="62" spans="8:15" x14ac:dyDescent="0.25">
      <c r="H62" s="5"/>
      <c r="I62" s="5" t="s">
        <v>25</v>
      </c>
      <c r="J62" s="21" t="s">
        <v>121</v>
      </c>
      <c r="K62" s="12" t="s">
        <v>230</v>
      </c>
      <c r="L62" s="12" t="s">
        <v>32</v>
      </c>
      <c r="M62" s="107">
        <v>31176</v>
      </c>
      <c r="N62" s="20">
        <v>32829.912312680201</v>
      </c>
      <c r="O62" s="24">
        <f t="shared" si="2"/>
        <v>1</v>
      </c>
    </row>
    <row r="63" spans="8:15" x14ac:dyDescent="0.25">
      <c r="H63" s="5"/>
      <c r="I63" s="5" t="s">
        <v>25</v>
      </c>
      <c r="J63" s="21" t="s">
        <v>122</v>
      </c>
      <c r="K63" s="12" t="s">
        <v>230</v>
      </c>
      <c r="L63" s="12" t="s">
        <v>32</v>
      </c>
      <c r="M63" s="107">
        <v>39296</v>
      </c>
      <c r="N63" s="20">
        <v>42029.361449793585</v>
      </c>
      <c r="O63" s="24">
        <f t="shared" si="2"/>
        <v>1</v>
      </c>
    </row>
    <row r="64" spans="8:15" x14ac:dyDescent="0.25">
      <c r="H64" s="5"/>
      <c r="I64" s="5" t="s">
        <v>25</v>
      </c>
      <c r="J64" s="21" t="s">
        <v>123</v>
      </c>
      <c r="K64" s="12" t="s">
        <v>230</v>
      </c>
      <c r="L64" s="12" t="s">
        <v>32</v>
      </c>
      <c r="M64" s="107">
        <v>36325</v>
      </c>
      <c r="N64" s="20">
        <v>38131.95126088</v>
      </c>
      <c r="O64" s="24">
        <f t="shared" si="2"/>
        <v>1</v>
      </c>
    </row>
    <row r="65" spans="8:15" x14ac:dyDescent="0.25">
      <c r="H65" s="5"/>
      <c r="I65" s="5" t="s">
        <v>25</v>
      </c>
      <c r="J65" s="21" t="s">
        <v>124</v>
      </c>
      <c r="K65" s="12" t="s">
        <v>230</v>
      </c>
      <c r="L65" s="12" t="s">
        <v>32</v>
      </c>
      <c r="M65" s="107">
        <v>42254</v>
      </c>
      <c r="N65" s="20">
        <v>38812.276924014754</v>
      </c>
      <c r="O65" s="24">
        <f t="shared" si="2"/>
        <v>1</v>
      </c>
    </row>
    <row r="66" spans="8:15" x14ac:dyDescent="0.25">
      <c r="H66" s="5"/>
      <c r="I66" s="5" t="s">
        <v>25</v>
      </c>
      <c r="J66" s="21" t="s">
        <v>125</v>
      </c>
      <c r="K66" s="12" t="s">
        <v>230</v>
      </c>
      <c r="L66" s="12" t="s">
        <v>32</v>
      </c>
      <c r="M66" s="107">
        <v>23858</v>
      </c>
      <c r="N66" s="20">
        <v>25752.936552694631</v>
      </c>
      <c r="O66" s="24">
        <f t="shared" si="2"/>
        <v>1</v>
      </c>
    </row>
    <row r="67" spans="8:15" x14ac:dyDescent="0.25">
      <c r="H67" s="5"/>
      <c r="I67" s="5" t="s">
        <v>25</v>
      </c>
      <c r="J67" s="21" t="s">
        <v>126</v>
      </c>
      <c r="K67" s="12" t="s">
        <v>230</v>
      </c>
      <c r="L67" s="12" t="s">
        <v>32</v>
      </c>
      <c r="M67" s="107">
        <v>45577</v>
      </c>
      <c r="N67" s="20">
        <v>50709.952394030937</v>
      </c>
      <c r="O67" s="24">
        <f t="shared" si="2"/>
        <v>1</v>
      </c>
    </row>
    <row r="68" spans="8:15" x14ac:dyDescent="0.25">
      <c r="H68" s="5"/>
      <c r="I68" s="5" t="s">
        <v>25</v>
      </c>
      <c r="J68" s="21" t="s">
        <v>127</v>
      </c>
      <c r="K68" s="12" t="s">
        <v>230</v>
      </c>
      <c r="L68" s="12" t="s">
        <v>32</v>
      </c>
      <c r="M68" s="107">
        <v>45062</v>
      </c>
      <c r="N68" s="20">
        <v>45098.399374025292</v>
      </c>
      <c r="O68" s="24">
        <f t="shared" si="2"/>
        <v>1</v>
      </c>
    </row>
    <row r="69" spans="8:15" x14ac:dyDescent="0.25">
      <c r="H69" s="5"/>
      <c r="I69" s="5" t="s">
        <v>25</v>
      </c>
      <c r="J69" s="21" t="s">
        <v>128</v>
      </c>
      <c r="K69" s="12" t="s">
        <v>230</v>
      </c>
      <c r="L69" s="12" t="s">
        <v>32</v>
      </c>
      <c r="M69" s="107">
        <v>30397</v>
      </c>
      <c r="N69" s="20">
        <v>29842.369251649499</v>
      </c>
      <c r="O69" s="24">
        <f t="shared" si="2"/>
        <v>1</v>
      </c>
    </row>
    <row r="70" spans="8:15" x14ac:dyDescent="0.25">
      <c r="H70" s="5"/>
      <c r="I70" s="5" t="s">
        <v>25</v>
      </c>
      <c r="J70" s="21" t="s">
        <v>129</v>
      </c>
      <c r="K70" s="12" t="s">
        <v>230</v>
      </c>
      <c r="L70" s="12" t="s">
        <v>32</v>
      </c>
      <c r="M70" s="107">
        <v>42227</v>
      </c>
      <c r="N70" s="20">
        <v>42053.605870862972</v>
      </c>
      <c r="O70" s="24">
        <f t="shared" si="2"/>
        <v>1</v>
      </c>
    </row>
    <row r="71" spans="8:15" x14ac:dyDescent="0.25">
      <c r="H71" s="5"/>
      <c r="I71" s="5" t="s">
        <v>25</v>
      </c>
      <c r="J71" s="21" t="s">
        <v>130</v>
      </c>
      <c r="K71" s="12" t="s">
        <v>230</v>
      </c>
      <c r="L71" s="12" t="s">
        <v>32</v>
      </c>
      <c r="M71" s="107">
        <v>36373</v>
      </c>
      <c r="N71" s="20">
        <v>38051.470377782593</v>
      </c>
      <c r="O71" s="24">
        <f t="shared" si="2"/>
        <v>1</v>
      </c>
    </row>
    <row r="72" spans="8:15" x14ac:dyDescent="0.25">
      <c r="H72" s="5"/>
      <c r="I72" s="5" t="s">
        <v>25</v>
      </c>
      <c r="J72" s="21" t="s">
        <v>131</v>
      </c>
      <c r="K72" s="12" t="s">
        <v>230</v>
      </c>
      <c r="L72" s="12" t="s">
        <v>32</v>
      </c>
      <c r="M72" s="107">
        <v>31400</v>
      </c>
      <c r="N72" s="20">
        <v>35577.171501716039</v>
      </c>
      <c r="O72" s="24">
        <f t="shared" si="2"/>
        <v>1</v>
      </c>
    </row>
    <row r="73" spans="8:15" x14ac:dyDescent="0.25">
      <c r="H73" s="5"/>
      <c r="I73" s="5" t="s">
        <v>25</v>
      </c>
      <c r="J73" s="21" t="s">
        <v>33</v>
      </c>
      <c r="K73" s="12" t="s">
        <v>230</v>
      </c>
      <c r="L73" s="12" t="s">
        <v>32</v>
      </c>
      <c r="M73" s="107">
        <v>26513</v>
      </c>
      <c r="N73" s="20">
        <v>31449.861850606918</v>
      </c>
      <c r="O73" s="24">
        <f t="shared" si="2"/>
        <v>1</v>
      </c>
    </row>
    <row r="74" spans="8:15" x14ac:dyDescent="0.25">
      <c r="H74" s="5"/>
      <c r="I74" s="5" t="s">
        <v>25</v>
      </c>
      <c r="J74" s="21" t="s">
        <v>132</v>
      </c>
      <c r="K74" s="12" t="s">
        <v>230</v>
      </c>
      <c r="L74" s="12" t="s">
        <v>32</v>
      </c>
      <c r="M74" s="107">
        <v>34386</v>
      </c>
      <c r="N74" s="20">
        <v>32983.495994663281</v>
      </c>
      <c r="O74" s="24">
        <f t="shared" si="2"/>
        <v>1</v>
      </c>
    </row>
    <row r="75" spans="8:15" x14ac:dyDescent="0.25">
      <c r="H75" s="5"/>
      <c r="I75" s="5" t="s">
        <v>25</v>
      </c>
      <c r="J75" s="21" t="s">
        <v>133</v>
      </c>
      <c r="K75" s="12" t="s">
        <v>230</v>
      </c>
      <c r="L75" s="12" t="s">
        <v>32</v>
      </c>
      <c r="M75" s="107">
        <v>37045</v>
      </c>
      <c r="N75" s="20">
        <v>41167.547188368946</v>
      </c>
      <c r="O75" s="24">
        <f t="shared" si="2"/>
        <v>1</v>
      </c>
    </row>
    <row r="76" spans="8:15" x14ac:dyDescent="0.25">
      <c r="H76" s="5"/>
      <c r="I76" s="5" t="s">
        <v>25</v>
      </c>
      <c r="J76" s="21" t="s">
        <v>134</v>
      </c>
      <c r="K76" s="12" t="s">
        <v>230</v>
      </c>
      <c r="L76" s="12" t="s">
        <v>32</v>
      </c>
      <c r="M76" s="107">
        <v>30937</v>
      </c>
      <c r="N76" s="20">
        <v>32830.150732788097</v>
      </c>
      <c r="O76" s="24">
        <f t="shared" si="2"/>
        <v>1</v>
      </c>
    </row>
    <row r="77" spans="8:15" x14ac:dyDescent="0.25">
      <c r="H77" s="5"/>
      <c r="I77" s="5" t="s">
        <v>25</v>
      </c>
      <c r="J77" s="21" t="s">
        <v>135</v>
      </c>
      <c r="K77" s="12" t="s">
        <v>230</v>
      </c>
      <c r="L77" s="12" t="s">
        <v>32</v>
      </c>
      <c r="M77" s="107">
        <v>51518</v>
      </c>
      <c r="N77" s="20">
        <v>51494.515514594677</v>
      </c>
      <c r="O77" s="24">
        <f t="shared" si="2"/>
        <v>1</v>
      </c>
    </row>
    <row r="78" spans="8:15" x14ac:dyDescent="0.25">
      <c r="H78" s="5"/>
      <c r="I78" s="5" t="s">
        <v>25</v>
      </c>
      <c r="J78" s="21" t="s">
        <v>136</v>
      </c>
      <c r="K78" s="12" t="s">
        <v>230</v>
      </c>
      <c r="L78" s="12" t="s">
        <v>32</v>
      </c>
      <c r="M78" s="107">
        <v>51793</v>
      </c>
      <c r="N78" s="20">
        <v>57435.004183610312</v>
      </c>
      <c r="O78" s="24">
        <f t="shared" si="2"/>
        <v>1</v>
      </c>
    </row>
    <row r="79" spans="8:15" x14ac:dyDescent="0.25">
      <c r="H79" s="5"/>
      <c r="I79" s="5" t="s">
        <v>25</v>
      </c>
      <c r="J79" s="21" t="s">
        <v>137</v>
      </c>
      <c r="K79" s="12" t="s">
        <v>230</v>
      </c>
      <c r="L79" s="12" t="s">
        <v>32</v>
      </c>
      <c r="M79" s="107">
        <v>64921</v>
      </c>
      <c r="N79" s="20">
        <v>66290.497034209126</v>
      </c>
      <c r="O79" s="24">
        <f t="shared" si="2"/>
        <v>1</v>
      </c>
    </row>
    <row r="80" spans="8:15" x14ac:dyDescent="0.25">
      <c r="H80" s="5"/>
      <c r="I80" s="5" t="s">
        <v>25</v>
      </c>
      <c r="J80" s="21" t="s">
        <v>34</v>
      </c>
      <c r="K80" s="12" t="s">
        <v>230</v>
      </c>
      <c r="L80" s="12" t="s">
        <v>32</v>
      </c>
      <c r="M80" s="107">
        <v>51291</v>
      </c>
      <c r="N80" s="20">
        <v>52919.068695880444</v>
      </c>
      <c r="O80" s="24">
        <f t="shared" si="2"/>
        <v>1</v>
      </c>
    </row>
    <row r="81" spans="8:15" ht="15.75" thickBot="1" x14ac:dyDescent="0.3">
      <c r="H81" s="5"/>
      <c r="I81" s="5" t="s">
        <v>25</v>
      </c>
      <c r="J81" s="21" t="s">
        <v>138</v>
      </c>
      <c r="K81" s="12" t="s">
        <v>230</v>
      </c>
      <c r="L81" s="12" t="s">
        <v>32</v>
      </c>
      <c r="M81" s="107">
        <v>34687</v>
      </c>
      <c r="N81" s="20">
        <v>37780.457703651526</v>
      </c>
      <c r="O81" s="24">
        <f t="shared" si="2"/>
        <v>1</v>
      </c>
    </row>
    <row r="82" spans="8:15" ht="15.75" thickBot="1" x14ac:dyDescent="0.3">
      <c r="H82" s="5"/>
      <c r="I82" s="57" t="s">
        <v>15</v>
      </c>
      <c r="J82" s="53" t="s">
        <v>231</v>
      </c>
      <c r="K82" s="61"/>
      <c r="L82" s="61"/>
      <c r="M82" s="58">
        <f>SUM(M83:M100)</f>
        <v>809994</v>
      </c>
      <c r="N82" s="58">
        <f>SUM(N83:N100)</f>
        <v>824188.85460542561</v>
      </c>
      <c r="O82" s="59">
        <f>SUMIFS(O:O,K:K,J82)</f>
        <v>18</v>
      </c>
    </row>
    <row r="83" spans="8:15" x14ac:dyDescent="0.25">
      <c r="H83" s="5"/>
      <c r="I83" s="5" t="s">
        <v>25</v>
      </c>
      <c r="J83" s="21" t="s">
        <v>139</v>
      </c>
      <c r="K83" s="12" t="s">
        <v>231</v>
      </c>
      <c r="L83" s="12" t="s">
        <v>21</v>
      </c>
      <c r="M83" s="107">
        <v>24180</v>
      </c>
      <c r="N83" s="20">
        <v>24682.447235954201</v>
      </c>
      <c r="O83" s="24">
        <f>IF(N83&gt;100000,2,1)</f>
        <v>1</v>
      </c>
    </row>
    <row r="84" spans="8:15" x14ac:dyDescent="0.25">
      <c r="H84" s="5"/>
      <c r="I84" s="5" t="s">
        <v>25</v>
      </c>
      <c r="J84" s="16" t="s">
        <v>140</v>
      </c>
      <c r="K84" s="12" t="s">
        <v>231</v>
      </c>
      <c r="L84" s="12" t="s">
        <v>21</v>
      </c>
      <c r="M84" s="107">
        <v>52512</v>
      </c>
      <c r="N84" s="20">
        <v>50057.40925776097</v>
      </c>
      <c r="O84" s="24">
        <f t="shared" ref="O84:O100" si="3">IF(N84&gt;100000,2,1)</f>
        <v>1</v>
      </c>
    </row>
    <row r="85" spans="8:15" x14ac:dyDescent="0.25">
      <c r="H85" s="5"/>
      <c r="I85" s="5" t="s">
        <v>25</v>
      </c>
      <c r="J85" s="21" t="s">
        <v>141</v>
      </c>
      <c r="K85" s="12" t="s">
        <v>231</v>
      </c>
      <c r="L85" s="12" t="s">
        <v>21</v>
      </c>
      <c r="M85" s="107">
        <v>48468</v>
      </c>
      <c r="N85" s="20">
        <v>43743.955571635903</v>
      </c>
      <c r="O85" s="24">
        <f t="shared" si="3"/>
        <v>1</v>
      </c>
    </row>
    <row r="86" spans="8:15" x14ac:dyDescent="0.25">
      <c r="H86" s="5"/>
      <c r="I86" s="5" t="s">
        <v>25</v>
      </c>
      <c r="J86" s="21" t="s">
        <v>142</v>
      </c>
      <c r="K86" s="12" t="s">
        <v>231</v>
      </c>
      <c r="L86" s="12" t="s">
        <v>21</v>
      </c>
      <c r="M86" s="107">
        <v>48710</v>
      </c>
      <c r="N86" s="20">
        <v>52515.990302911589</v>
      </c>
      <c r="O86" s="24">
        <f t="shared" si="3"/>
        <v>1</v>
      </c>
    </row>
    <row r="87" spans="8:15" x14ac:dyDescent="0.25">
      <c r="H87" s="5"/>
      <c r="I87" s="5" t="s">
        <v>25</v>
      </c>
      <c r="J87" s="21" t="s">
        <v>143</v>
      </c>
      <c r="K87" s="12" t="s">
        <v>231</v>
      </c>
      <c r="L87" s="12" t="s">
        <v>21</v>
      </c>
      <c r="M87" s="107">
        <v>32108</v>
      </c>
      <c r="N87" s="20">
        <v>33588.338116671111</v>
      </c>
      <c r="O87" s="24">
        <f t="shared" si="3"/>
        <v>1</v>
      </c>
    </row>
    <row r="88" spans="8:15" x14ac:dyDescent="0.25">
      <c r="H88" s="5"/>
      <c r="I88" s="5" t="s">
        <v>25</v>
      </c>
      <c r="J88" s="21" t="s">
        <v>144</v>
      </c>
      <c r="K88" s="12" t="s">
        <v>231</v>
      </c>
      <c r="L88" s="12" t="s">
        <v>21</v>
      </c>
      <c r="M88" s="107">
        <v>38496</v>
      </c>
      <c r="N88" s="20">
        <v>43603.074475873989</v>
      </c>
      <c r="O88" s="24">
        <f t="shared" si="3"/>
        <v>1</v>
      </c>
    </row>
    <row r="89" spans="8:15" x14ac:dyDescent="0.25">
      <c r="H89" s="5"/>
      <c r="I89" s="5" t="s">
        <v>25</v>
      </c>
      <c r="J89" s="21" t="s">
        <v>145</v>
      </c>
      <c r="K89" s="12" t="s">
        <v>231</v>
      </c>
      <c r="L89" s="12" t="s">
        <v>21</v>
      </c>
      <c r="M89" s="107">
        <v>49088</v>
      </c>
      <c r="N89" s="20">
        <v>52234.007493853933</v>
      </c>
      <c r="O89" s="24">
        <f t="shared" si="3"/>
        <v>1</v>
      </c>
    </row>
    <row r="90" spans="8:15" x14ac:dyDescent="0.25">
      <c r="H90" s="5"/>
      <c r="I90" s="5" t="s">
        <v>25</v>
      </c>
      <c r="J90" s="21" t="s">
        <v>146</v>
      </c>
      <c r="K90" s="12" t="s">
        <v>231</v>
      </c>
      <c r="L90" s="12" t="s">
        <v>21</v>
      </c>
      <c r="M90" s="107">
        <v>52296</v>
      </c>
      <c r="N90" s="20">
        <v>50420.370464738509</v>
      </c>
      <c r="O90" s="24">
        <f t="shared" si="3"/>
        <v>1</v>
      </c>
    </row>
    <row r="91" spans="8:15" x14ac:dyDescent="0.25">
      <c r="H91" s="5"/>
      <c r="I91" s="5" t="s">
        <v>25</v>
      </c>
      <c r="J91" s="16" t="s">
        <v>147</v>
      </c>
      <c r="K91" s="12" t="s">
        <v>231</v>
      </c>
      <c r="L91" s="12" t="s">
        <v>21</v>
      </c>
      <c r="M91" s="107">
        <v>39079</v>
      </c>
      <c r="N91" s="20">
        <v>38086.822271035729</v>
      </c>
      <c r="O91" s="24">
        <f t="shared" si="3"/>
        <v>1</v>
      </c>
    </row>
    <row r="92" spans="8:15" x14ac:dyDescent="0.25">
      <c r="H92" s="5"/>
      <c r="I92" s="5" t="s">
        <v>25</v>
      </c>
      <c r="J92" s="21" t="s">
        <v>148</v>
      </c>
      <c r="K92" s="12" t="s">
        <v>231</v>
      </c>
      <c r="L92" s="12" t="s">
        <v>21</v>
      </c>
      <c r="M92" s="107">
        <v>64996</v>
      </c>
      <c r="N92" s="20">
        <v>65808.583373263071</v>
      </c>
      <c r="O92" s="24">
        <f t="shared" si="3"/>
        <v>1</v>
      </c>
    </row>
    <row r="93" spans="8:15" x14ac:dyDescent="0.25">
      <c r="H93" s="5"/>
      <c r="I93" s="5" t="s">
        <v>25</v>
      </c>
      <c r="J93" s="21" t="s">
        <v>149</v>
      </c>
      <c r="K93" s="12" t="s">
        <v>231</v>
      </c>
      <c r="L93" s="12" t="s">
        <v>21</v>
      </c>
      <c r="M93" s="107">
        <v>53843</v>
      </c>
      <c r="N93" s="20">
        <v>51074.17701493427</v>
      </c>
      <c r="O93" s="24">
        <f t="shared" si="3"/>
        <v>1</v>
      </c>
    </row>
    <row r="94" spans="8:15" x14ac:dyDescent="0.25">
      <c r="H94" s="5"/>
      <c r="I94" s="5" t="s">
        <v>25</v>
      </c>
      <c r="J94" s="21" t="s">
        <v>150</v>
      </c>
      <c r="K94" s="12" t="s">
        <v>231</v>
      </c>
      <c r="L94" s="12" t="s">
        <v>21</v>
      </c>
      <c r="M94" s="107">
        <v>33951</v>
      </c>
      <c r="N94" s="20">
        <v>38005.819718450723</v>
      </c>
      <c r="O94" s="24">
        <f t="shared" si="3"/>
        <v>1</v>
      </c>
    </row>
    <row r="95" spans="8:15" x14ac:dyDescent="0.25">
      <c r="H95" s="5"/>
      <c r="I95" s="5" t="s">
        <v>25</v>
      </c>
      <c r="J95" s="16" t="s">
        <v>151</v>
      </c>
      <c r="K95" s="12" t="s">
        <v>231</v>
      </c>
      <c r="L95" s="12" t="s">
        <v>21</v>
      </c>
      <c r="M95" s="107">
        <v>22683</v>
      </c>
      <c r="N95" s="20">
        <v>24932.085237796589</v>
      </c>
      <c r="O95" s="24">
        <f t="shared" si="3"/>
        <v>1</v>
      </c>
    </row>
    <row r="96" spans="8:15" x14ac:dyDescent="0.25">
      <c r="H96" s="5"/>
      <c r="I96" s="5" t="s">
        <v>25</v>
      </c>
      <c r="J96" s="21" t="s">
        <v>152</v>
      </c>
      <c r="K96" s="12" t="s">
        <v>231</v>
      </c>
      <c r="L96" s="12" t="s">
        <v>21</v>
      </c>
      <c r="M96" s="107">
        <v>58901</v>
      </c>
      <c r="N96" s="20">
        <v>56512.869737357731</v>
      </c>
      <c r="O96" s="24">
        <f t="shared" si="3"/>
        <v>1</v>
      </c>
    </row>
    <row r="97" spans="8:15" x14ac:dyDescent="0.25">
      <c r="H97" s="5"/>
      <c r="I97" s="5" t="s">
        <v>25</v>
      </c>
      <c r="J97" s="16" t="s">
        <v>153</v>
      </c>
      <c r="K97" s="12" t="s">
        <v>231</v>
      </c>
      <c r="L97" s="12" t="s">
        <v>21</v>
      </c>
      <c r="M97" s="107">
        <v>33872</v>
      </c>
      <c r="N97" s="20">
        <v>33838.662455198675</v>
      </c>
      <c r="O97" s="24">
        <f t="shared" si="3"/>
        <v>1</v>
      </c>
    </row>
    <row r="98" spans="8:15" x14ac:dyDescent="0.25">
      <c r="H98" s="5"/>
      <c r="I98" s="5" t="s">
        <v>25</v>
      </c>
      <c r="J98" s="21" t="s">
        <v>154</v>
      </c>
      <c r="K98" s="12" t="s">
        <v>231</v>
      </c>
      <c r="L98" s="12" t="s">
        <v>21</v>
      </c>
      <c r="M98" s="107">
        <v>38893</v>
      </c>
      <c r="N98" s="20">
        <v>40257.945243180002</v>
      </c>
      <c r="O98" s="24">
        <f t="shared" si="3"/>
        <v>1</v>
      </c>
    </row>
    <row r="99" spans="8:15" x14ac:dyDescent="0.25">
      <c r="H99" s="5"/>
      <c r="I99" s="5" t="s">
        <v>25</v>
      </c>
      <c r="J99" s="21" t="s">
        <v>155</v>
      </c>
      <c r="K99" s="12" t="s">
        <v>231</v>
      </c>
      <c r="L99" s="12" t="s">
        <v>21</v>
      </c>
      <c r="M99" s="107">
        <v>76293</v>
      </c>
      <c r="N99" s="20">
        <v>80287.364350858799</v>
      </c>
      <c r="O99" s="24">
        <f t="shared" si="3"/>
        <v>1</v>
      </c>
    </row>
    <row r="100" spans="8:15" ht="15.75" thickBot="1" x14ac:dyDescent="0.3">
      <c r="H100" s="5"/>
      <c r="I100" s="5" t="s">
        <v>25</v>
      </c>
      <c r="J100" s="21" t="s">
        <v>156</v>
      </c>
      <c r="K100" s="12" t="s">
        <v>231</v>
      </c>
      <c r="L100" s="12" t="s">
        <v>21</v>
      </c>
      <c r="M100" s="107">
        <v>41625</v>
      </c>
      <c r="N100" s="20">
        <v>44538.932283949864</v>
      </c>
      <c r="O100" s="24">
        <f t="shared" si="3"/>
        <v>1</v>
      </c>
    </row>
    <row r="101" spans="8:15" ht="15.75" thickBot="1" x14ac:dyDescent="0.3">
      <c r="H101" s="5"/>
      <c r="I101" s="57" t="s">
        <v>15</v>
      </c>
      <c r="J101" s="53" t="s">
        <v>232</v>
      </c>
      <c r="K101" s="53"/>
      <c r="L101" s="53"/>
      <c r="M101" s="58">
        <f>SUM(M102:M116)</f>
        <v>663616</v>
      </c>
      <c r="N101" s="58">
        <f>SUM(N102:N116)</f>
        <v>664603.80396442104</v>
      </c>
      <c r="O101" s="59">
        <f>SUMIFS(O:O,K:K,J101)</f>
        <v>15</v>
      </c>
    </row>
    <row r="102" spans="8:15" x14ac:dyDescent="0.25">
      <c r="H102" s="5"/>
      <c r="I102" s="5" t="s">
        <v>25</v>
      </c>
      <c r="J102" s="21" t="s">
        <v>157</v>
      </c>
      <c r="K102" s="16" t="s">
        <v>232</v>
      </c>
      <c r="L102" s="16" t="s">
        <v>17</v>
      </c>
      <c r="M102" s="105">
        <v>29931</v>
      </c>
      <c r="N102" s="20">
        <v>30020.2186805567</v>
      </c>
      <c r="O102" s="24">
        <f>IF(N102&gt;100000,2,1)</f>
        <v>1</v>
      </c>
    </row>
    <row r="103" spans="8:15" x14ac:dyDescent="0.25">
      <c r="H103" s="5"/>
      <c r="I103" s="5" t="s">
        <v>25</v>
      </c>
      <c r="J103" s="21" t="s">
        <v>158</v>
      </c>
      <c r="K103" s="16" t="s">
        <v>232</v>
      </c>
      <c r="L103" s="16" t="s">
        <v>17</v>
      </c>
      <c r="M103" s="105">
        <v>40767</v>
      </c>
      <c r="N103" s="20">
        <v>42336.589350138071</v>
      </c>
      <c r="O103" s="24">
        <f t="shared" ref="O103:O116" si="4">IF(N103&gt;100000,2,1)</f>
        <v>1</v>
      </c>
    </row>
    <row r="104" spans="8:15" x14ac:dyDescent="0.25">
      <c r="H104" s="5"/>
      <c r="I104" s="5" t="s">
        <v>25</v>
      </c>
      <c r="J104" s="21" t="s">
        <v>159</v>
      </c>
      <c r="K104" s="16" t="s">
        <v>232</v>
      </c>
      <c r="L104" s="16" t="s">
        <v>17</v>
      </c>
      <c r="M104" s="105">
        <v>54880</v>
      </c>
      <c r="N104" s="20">
        <v>49986.300015451954</v>
      </c>
      <c r="O104" s="24">
        <f t="shared" si="4"/>
        <v>1</v>
      </c>
    </row>
    <row r="105" spans="8:15" x14ac:dyDescent="0.25">
      <c r="H105" s="5"/>
      <c r="I105" s="5" t="s">
        <v>25</v>
      </c>
      <c r="J105" s="21" t="s">
        <v>160</v>
      </c>
      <c r="K105" s="16" t="s">
        <v>232</v>
      </c>
      <c r="L105" s="16" t="s">
        <v>17</v>
      </c>
      <c r="M105" s="105">
        <v>54061</v>
      </c>
      <c r="N105" s="20">
        <v>53525.325608220606</v>
      </c>
      <c r="O105" s="24">
        <f t="shared" si="4"/>
        <v>1</v>
      </c>
    </row>
    <row r="106" spans="8:15" x14ac:dyDescent="0.25">
      <c r="H106" s="5"/>
      <c r="I106" s="5" t="s">
        <v>25</v>
      </c>
      <c r="J106" s="21" t="s">
        <v>161</v>
      </c>
      <c r="K106" s="16" t="s">
        <v>232</v>
      </c>
      <c r="L106" s="16" t="s">
        <v>17</v>
      </c>
      <c r="M106" s="105">
        <v>64289</v>
      </c>
      <c r="N106" s="20">
        <v>71979.425148552953</v>
      </c>
      <c r="O106" s="24">
        <f t="shared" si="4"/>
        <v>1</v>
      </c>
    </row>
    <row r="107" spans="8:15" x14ac:dyDescent="0.25">
      <c r="H107" s="5"/>
      <c r="I107" s="5" t="s">
        <v>25</v>
      </c>
      <c r="J107" s="21" t="s">
        <v>162</v>
      </c>
      <c r="K107" s="16" t="s">
        <v>232</v>
      </c>
      <c r="L107" s="16" t="s">
        <v>17</v>
      </c>
      <c r="M107" s="105">
        <v>34532</v>
      </c>
      <c r="N107" s="20">
        <v>32681.221539832066</v>
      </c>
      <c r="O107" s="24">
        <f t="shared" si="4"/>
        <v>1</v>
      </c>
    </row>
    <row r="108" spans="8:15" x14ac:dyDescent="0.25">
      <c r="H108" s="5"/>
      <c r="I108" s="5" t="s">
        <v>25</v>
      </c>
      <c r="J108" s="21" t="s">
        <v>163</v>
      </c>
      <c r="K108" s="16" t="s">
        <v>232</v>
      </c>
      <c r="L108" s="16" t="s">
        <v>17</v>
      </c>
      <c r="M108" s="105">
        <v>24637</v>
      </c>
      <c r="N108" s="20">
        <v>21746.859814821892</v>
      </c>
      <c r="O108" s="24">
        <f t="shared" si="4"/>
        <v>1</v>
      </c>
    </row>
    <row r="109" spans="8:15" x14ac:dyDescent="0.25">
      <c r="H109" s="5"/>
      <c r="I109" s="5" t="s">
        <v>25</v>
      </c>
      <c r="J109" s="21" t="s">
        <v>164</v>
      </c>
      <c r="K109" s="16" t="s">
        <v>232</v>
      </c>
      <c r="L109" s="16" t="s">
        <v>17</v>
      </c>
      <c r="M109" s="105">
        <v>54094</v>
      </c>
      <c r="N109" s="20">
        <v>53761.366035015635</v>
      </c>
      <c r="O109" s="24">
        <f t="shared" si="4"/>
        <v>1</v>
      </c>
    </row>
    <row r="110" spans="8:15" x14ac:dyDescent="0.25">
      <c r="H110" s="5"/>
      <c r="I110" s="5" t="s">
        <v>25</v>
      </c>
      <c r="J110" s="21" t="s">
        <v>165</v>
      </c>
      <c r="K110" s="16" t="s">
        <v>232</v>
      </c>
      <c r="L110" s="16" t="s">
        <v>17</v>
      </c>
      <c r="M110" s="105">
        <v>31656</v>
      </c>
      <c r="N110" s="20">
        <v>36338.20714288723</v>
      </c>
      <c r="O110" s="24">
        <f t="shared" si="4"/>
        <v>1</v>
      </c>
    </row>
    <row r="111" spans="8:15" x14ac:dyDescent="0.25">
      <c r="H111" s="5"/>
      <c r="I111" s="5" t="s">
        <v>25</v>
      </c>
      <c r="J111" s="21" t="s">
        <v>166</v>
      </c>
      <c r="K111" s="16" t="s">
        <v>232</v>
      </c>
      <c r="L111" s="16" t="s">
        <v>17</v>
      </c>
      <c r="M111" s="105">
        <v>35145</v>
      </c>
      <c r="N111" s="20">
        <v>32189.696630365401</v>
      </c>
      <c r="O111" s="24">
        <f t="shared" si="4"/>
        <v>1</v>
      </c>
    </row>
    <row r="112" spans="8:15" x14ac:dyDescent="0.25">
      <c r="H112" s="5"/>
      <c r="I112" s="5" t="s">
        <v>25</v>
      </c>
      <c r="J112" s="21" t="s">
        <v>167</v>
      </c>
      <c r="K112" s="16" t="s">
        <v>232</v>
      </c>
      <c r="L112" s="16" t="s">
        <v>17</v>
      </c>
      <c r="M112" s="105">
        <v>42386</v>
      </c>
      <c r="N112" s="20">
        <v>43191.986762974404</v>
      </c>
      <c r="O112" s="24">
        <f t="shared" si="4"/>
        <v>1</v>
      </c>
    </row>
    <row r="113" spans="2:15" x14ac:dyDescent="0.25">
      <c r="H113" s="5"/>
      <c r="I113" s="5" t="s">
        <v>25</v>
      </c>
      <c r="J113" s="21" t="s">
        <v>168</v>
      </c>
      <c r="K113" s="16" t="s">
        <v>232</v>
      </c>
      <c r="L113" s="16" t="s">
        <v>17</v>
      </c>
      <c r="M113" s="105">
        <v>60698</v>
      </c>
      <c r="N113" s="20">
        <v>62375.113166710202</v>
      </c>
      <c r="O113" s="24">
        <f t="shared" si="4"/>
        <v>1</v>
      </c>
    </row>
    <row r="114" spans="2:15" x14ac:dyDescent="0.25">
      <c r="H114" s="5"/>
      <c r="I114" s="5" t="s">
        <v>25</v>
      </c>
      <c r="J114" s="21" t="s">
        <v>169</v>
      </c>
      <c r="K114" s="16" t="s">
        <v>232</v>
      </c>
      <c r="L114" s="16" t="s">
        <v>17</v>
      </c>
      <c r="M114" s="105">
        <v>47760</v>
      </c>
      <c r="N114" s="20">
        <v>45425.010733544157</v>
      </c>
      <c r="O114" s="24">
        <f t="shared" si="4"/>
        <v>1</v>
      </c>
    </row>
    <row r="115" spans="2:15" x14ac:dyDescent="0.25">
      <c r="H115" s="5"/>
      <c r="I115" s="5" t="s">
        <v>25</v>
      </c>
      <c r="J115" s="21" t="s">
        <v>170</v>
      </c>
      <c r="K115" s="16" t="s">
        <v>232</v>
      </c>
      <c r="L115" s="16" t="s">
        <v>17</v>
      </c>
      <c r="M115" s="105">
        <v>40101</v>
      </c>
      <c r="N115" s="20">
        <v>40051.983120681158</v>
      </c>
      <c r="O115" s="24">
        <f t="shared" si="4"/>
        <v>1</v>
      </c>
    </row>
    <row r="116" spans="2:15" ht="15.75" thickBot="1" x14ac:dyDescent="0.3">
      <c r="H116" s="5"/>
      <c r="I116" s="5" t="s">
        <v>25</v>
      </c>
      <c r="J116" s="21" t="s">
        <v>171</v>
      </c>
      <c r="K116" s="16" t="s">
        <v>232</v>
      </c>
      <c r="L116" s="16" t="s">
        <v>17</v>
      </c>
      <c r="M116" s="105">
        <v>48679</v>
      </c>
      <c r="N116" s="20">
        <v>48994.500214668682</v>
      </c>
      <c r="O116" s="24">
        <f t="shared" si="4"/>
        <v>1</v>
      </c>
    </row>
    <row r="117" spans="2:15" ht="15.75" thickBot="1" x14ac:dyDescent="0.3">
      <c r="I117" s="57" t="s">
        <v>15</v>
      </c>
      <c r="J117" s="53" t="s">
        <v>233</v>
      </c>
      <c r="K117" s="61"/>
      <c r="L117" s="61"/>
      <c r="M117" s="58">
        <f>SUM(M118:M134)</f>
        <v>589681</v>
      </c>
      <c r="N117" s="58">
        <f>SUM(N118:N134)</f>
        <v>629915.94196428731</v>
      </c>
      <c r="O117" s="59">
        <f>SUMIFS(O:O,K:K,J117)</f>
        <v>15</v>
      </c>
    </row>
    <row r="118" spans="2:15" x14ac:dyDescent="0.25">
      <c r="I118" s="5" t="s">
        <v>25</v>
      </c>
      <c r="J118" s="21" t="s">
        <v>172</v>
      </c>
      <c r="K118" s="12" t="s">
        <v>233</v>
      </c>
      <c r="L118" s="12" t="s">
        <v>19</v>
      </c>
      <c r="M118" s="107">
        <v>31416</v>
      </c>
      <c r="N118" s="20">
        <v>34440.520285130711</v>
      </c>
      <c r="O118" s="24">
        <f>IF(N118&gt;100000,2,1)</f>
        <v>1</v>
      </c>
    </row>
    <row r="119" spans="2:15" x14ac:dyDescent="0.25">
      <c r="I119" s="5" t="s">
        <v>25</v>
      </c>
      <c r="J119" s="21" t="s">
        <v>173</v>
      </c>
      <c r="K119" s="12" t="s">
        <v>233</v>
      </c>
      <c r="L119" s="12" t="s">
        <v>19</v>
      </c>
      <c r="M119" s="107">
        <v>28285</v>
      </c>
      <c r="N119" s="20">
        <v>31270.722688681599</v>
      </c>
      <c r="O119" s="24">
        <f t="shared" ref="O119:O132" si="5">IF(N119&gt;100000,2,1)</f>
        <v>1</v>
      </c>
    </row>
    <row r="120" spans="2:15" x14ac:dyDescent="0.25">
      <c r="I120" s="5" t="s">
        <v>25</v>
      </c>
      <c r="J120" s="21" t="s">
        <v>174</v>
      </c>
      <c r="K120" s="12" t="s">
        <v>233</v>
      </c>
      <c r="L120" s="12" t="s">
        <v>19</v>
      </c>
      <c r="M120" s="107">
        <v>71137</v>
      </c>
      <c r="N120" s="20">
        <v>77921.808348359569</v>
      </c>
      <c r="O120" s="24">
        <f t="shared" si="5"/>
        <v>1</v>
      </c>
    </row>
    <row r="121" spans="2:15" x14ac:dyDescent="0.25">
      <c r="I121" s="5" t="s">
        <v>25</v>
      </c>
      <c r="J121" s="21" t="s">
        <v>175</v>
      </c>
      <c r="K121" s="12" t="s">
        <v>233</v>
      </c>
      <c r="L121" s="12" t="s">
        <v>19</v>
      </c>
      <c r="M121" s="107">
        <v>47796</v>
      </c>
      <c r="N121" s="20">
        <v>45560.648398766432</v>
      </c>
      <c r="O121" s="24">
        <f t="shared" si="5"/>
        <v>1</v>
      </c>
    </row>
    <row r="122" spans="2:15" x14ac:dyDescent="0.25">
      <c r="B122" s="9"/>
      <c r="I122" s="5" t="s">
        <v>25</v>
      </c>
      <c r="J122" s="21" t="s">
        <v>118</v>
      </c>
      <c r="K122" s="12" t="s">
        <v>233</v>
      </c>
      <c r="L122" s="12" t="s">
        <v>19</v>
      </c>
      <c r="M122" s="107">
        <v>16491</v>
      </c>
      <c r="N122" s="20">
        <v>17480.651922317349</v>
      </c>
      <c r="O122" s="24">
        <f t="shared" si="5"/>
        <v>1</v>
      </c>
    </row>
    <row r="123" spans="2:15" x14ac:dyDescent="0.25">
      <c r="B123" s="9"/>
      <c r="I123" s="5" t="s">
        <v>25</v>
      </c>
      <c r="J123" s="21" t="s">
        <v>176</v>
      </c>
      <c r="K123" s="12" t="s">
        <v>233</v>
      </c>
      <c r="L123" s="12" t="s">
        <v>19</v>
      </c>
      <c r="M123" s="107">
        <v>33471</v>
      </c>
      <c r="N123" s="20">
        <v>36577.225265061832</v>
      </c>
      <c r="O123" s="24">
        <f t="shared" si="5"/>
        <v>1</v>
      </c>
    </row>
    <row r="124" spans="2:15" x14ac:dyDescent="0.25">
      <c r="I124" s="5" t="s">
        <v>25</v>
      </c>
      <c r="J124" s="21" t="s">
        <v>177</v>
      </c>
      <c r="K124" s="12" t="s">
        <v>233</v>
      </c>
      <c r="L124" s="12" t="s">
        <v>19</v>
      </c>
      <c r="M124" s="107">
        <v>21290</v>
      </c>
      <c r="N124" s="20">
        <v>23642.776625130002</v>
      </c>
      <c r="O124" s="24">
        <f t="shared" si="5"/>
        <v>1</v>
      </c>
    </row>
    <row r="125" spans="2:15" x14ac:dyDescent="0.25">
      <c r="I125" s="5" t="s">
        <v>25</v>
      </c>
      <c r="J125" s="21" t="s">
        <v>178</v>
      </c>
      <c r="K125" s="12" t="s">
        <v>233</v>
      </c>
      <c r="L125" s="12" t="s">
        <v>19</v>
      </c>
      <c r="M125" s="107">
        <v>30710</v>
      </c>
      <c r="N125" s="20">
        <v>33890.904704932611</v>
      </c>
      <c r="O125" s="24">
        <f t="shared" si="5"/>
        <v>1</v>
      </c>
    </row>
    <row r="126" spans="2:15" x14ac:dyDescent="0.25">
      <c r="I126" s="5" t="s">
        <v>25</v>
      </c>
      <c r="J126" s="21" t="s">
        <v>179</v>
      </c>
      <c r="K126" s="12" t="s">
        <v>233</v>
      </c>
      <c r="L126" s="12" t="s">
        <v>19</v>
      </c>
      <c r="M126" s="107">
        <v>38226</v>
      </c>
      <c r="N126" s="20">
        <v>39734.71440069587</v>
      </c>
      <c r="O126" s="24">
        <f t="shared" si="5"/>
        <v>1</v>
      </c>
    </row>
    <row r="127" spans="2:15" x14ac:dyDescent="0.25">
      <c r="I127" s="5" t="s">
        <v>25</v>
      </c>
      <c r="J127" s="21" t="s">
        <v>180</v>
      </c>
      <c r="K127" s="12" t="s">
        <v>233</v>
      </c>
      <c r="L127" s="12" t="s">
        <v>19</v>
      </c>
      <c r="M127" s="107">
        <v>65935</v>
      </c>
      <c r="N127" s="20">
        <v>72663.740149457444</v>
      </c>
      <c r="O127" s="24">
        <f t="shared" si="5"/>
        <v>1</v>
      </c>
    </row>
    <row r="128" spans="2:15" x14ac:dyDescent="0.25">
      <c r="I128" s="5" t="s">
        <v>25</v>
      </c>
      <c r="J128" s="21" t="s">
        <v>181</v>
      </c>
      <c r="K128" s="12" t="s">
        <v>233</v>
      </c>
      <c r="L128" s="12" t="s">
        <v>19</v>
      </c>
      <c r="M128" s="107">
        <v>36380</v>
      </c>
      <c r="N128" s="20">
        <v>38044.865492421734</v>
      </c>
      <c r="O128" s="24">
        <f t="shared" si="5"/>
        <v>1</v>
      </c>
    </row>
    <row r="129" spans="9:15" x14ac:dyDescent="0.25">
      <c r="I129" s="5" t="s">
        <v>25</v>
      </c>
      <c r="J129" s="21" t="s">
        <v>182</v>
      </c>
      <c r="K129" s="12" t="s">
        <v>233</v>
      </c>
      <c r="L129" s="12" t="s">
        <v>19</v>
      </c>
      <c r="M129" s="107">
        <v>42599</v>
      </c>
      <c r="N129" s="20">
        <v>47575.084152350093</v>
      </c>
      <c r="O129" s="24">
        <f t="shared" si="5"/>
        <v>1</v>
      </c>
    </row>
    <row r="130" spans="9:15" x14ac:dyDescent="0.25">
      <c r="I130" s="5" t="s">
        <v>25</v>
      </c>
      <c r="J130" s="21" t="s">
        <v>183</v>
      </c>
      <c r="K130" s="12" t="s">
        <v>233</v>
      </c>
      <c r="L130" s="12" t="s">
        <v>19</v>
      </c>
      <c r="M130" s="107">
        <v>35792</v>
      </c>
      <c r="N130" s="20">
        <v>35677.039173483703</v>
      </c>
      <c r="O130" s="24">
        <f t="shared" si="5"/>
        <v>1</v>
      </c>
    </row>
    <row r="131" spans="9:15" x14ac:dyDescent="0.25">
      <c r="I131" s="5" t="s">
        <v>25</v>
      </c>
      <c r="J131" s="21" t="s">
        <v>184</v>
      </c>
      <c r="K131" s="12" t="s">
        <v>233</v>
      </c>
      <c r="L131" s="12" t="s">
        <v>19</v>
      </c>
      <c r="M131" s="107">
        <v>48465</v>
      </c>
      <c r="N131" s="20">
        <v>48546.770388061894</v>
      </c>
      <c r="O131" s="24">
        <f t="shared" si="5"/>
        <v>1</v>
      </c>
    </row>
    <row r="132" spans="9:15" x14ac:dyDescent="0.25">
      <c r="I132" s="5" t="s">
        <v>25</v>
      </c>
      <c r="J132" s="21" t="s">
        <v>185</v>
      </c>
      <c r="K132" s="12" t="s">
        <v>233</v>
      </c>
      <c r="L132" s="12" t="s">
        <v>19</v>
      </c>
      <c r="M132" s="107">
        <v>35214</v>
      </c>
      <c r="N132" s="20">
        <v>39369.589792284401</v>
      </c>
      <c r="O132" s="24">
        <f t="shared" si="5"/>
        <v>1</v>
      </c>
    </row>
    <row r="133" spans="9:15" x14ac:dyDescent="0.25">
      <c r="I133" s="5" t="s">
        <v>35</v>
      </c>
      <c r="J133" s="21" t="s">
        <v>200</v>
      </c>
      <c r="K133" s="12" t="s">
        <v>233</v>
      </c>
      <c r="L133" s="12" t="s">
        <v>19</v>
      </c>
      <c r="M133" s="105">
        <v>3411</v>
      </c>
      <c r="N133" s="20">
        <v>3905.8979938009502</v>
      </c>
      <c r="O133" s="64"/>
    </row>
    <row r="134" spans="9:15" ht="15.75" thickBot="1" x14ac:dyDescent="0.3">
      <c r="I134" s="5" t="s">
        <v>35</v>
      </c>
      <c r="J134" s="21" t="s">
        <v>201</v>
      </c>
      <c r="K134" s="12" t="s">
        <v>233</v>
      </c>
      <c r="L134" s="12" t="s">
        <v>19</v>
      </c>
      <c r="M134" s="108">
        <v>3063</v>
      </c>
      <c r="N134" s="20">
        <v>3612.9821833512101</v>
      </c>
      <c r="O134" s="64"/>
    </row>
    <row r="135" spans="9:15" ht="15.75" thickBot="1" x14ac:dyDescent="0.3">
      <c r="I135" s="57" t="s">
        <v>15</v>
      </c>
      <c r="J135" s="53" t="s">
        <v>234</v>
      </c>
      <c r="K135" s="61"/>
      <c r="L135" s="61"/>
      <c r="M135" s="58">
        <f>SUM(M136:M151)</f>
        <v>581105</v>
      </c>
      <c r="N135" s="58">
        <f>SUM(N136:N151)</f>
        <v>596766.37392447644</v>
      </c>
      <c r="O135" s="59">
        <f>SUMIFS(O:O,K:K,J135)</f>
        <v>13</v>
      </c>
    </row>
    <row r="136" spans="9:15" x14ac:dyDescent="0.25">
      <c r="I136" s="5" t="s">
        <v>25</v>
      </c>
      <c r="J136" s="21" t="s">
        <v>186</v>
      </c>
      <c r="K136" s="12" t="s">
        <v>234</v>
      </c>
      <c r="L136" s="12" t="s">
        <v>20</v>
      </c>
      <c r="M136" s="109">
        <v>76656</v>
      </c>
      <c r="N136" s="20">
        <v>76457.780716612862</v>
      </c>
      <c r="O136" s="24">
        <f>IF(N136&gt;100000,2,1)</f>
        <v>1</v>
      </c>
    </row>
    <row r="137" spans="9:15" x14ac:dyDescent="0.25">
      <c r="I137" s="5" t="s">
        <v>25</v>
      </c>
      <c r="J137" s="21" t="s">
        <v>187</v>
      </c>
      <c r="K137" s="12" t="s">
        <v>234</v>
      </c>
      <c r="L137" s="12" t="s">
        <v>20</v>
      </c>
      <c r="M137" s="107">
        <v>48962</v>
      </c>
      <c r="N137" s="20">
        <v>51747.014830117805</v>
      </c>
      <c r="O137" s="24">
        <f t="shared" ref="O137:O148" si="6">IF(N137&gt;100000,2,1)</f>
        <v>1</v>
      </c>
    </row>
    <row r="138" spans="9:15" x14ac:dyDescent="0.25">
      <c r="I138" s="5" t="s">
        <v>25</v>
      </c>
      <c r="J138" s="21" t="s">
        <v>188</v>
      </c>
      <c r="K138" s="12" t="s">
        <v>234</v>
      </c>
      <c r="L138" s="12" t="s">
        <v>20</v>
      </c>
      <c r="M138" s="107">
        <v>29283</v>
      </c>
      <c r="N138" s="20">
        <v>27988.426482402199</v>
      </c>
      <c r="O138" s="24">
        <f t="shared" si="6"/>
        <v>1</v>
      </c>
    </row>
    <row r="139" spans="9:15" x14ac:dyDescent="0.25">
      <c r="I139" s="5" t="s">
        <v>25</v>
      </c>
      <c r="J139" s="21" t="s">
        <v>189</v>
      </c>
      <c r="K139" s="12" t="s">
        <v>234</v>
      </c>
      <c r="L139" s="12" t="s">
        <v>20</v>
      </c>
      <c r="M139" s="107">
        <v>37023</v>
      </c>
      <c r="N139" s="20">
        <v>39051.488899650467</v>
      </c>
      <c r="O139" s="24">
        <f t="shared" si="6"/>
        <v>1</v>
      </c>
    </row>
    <row r="140" spans="9:15" x14ac:dyDescent="0.25">
      <c r="I140" s="5" t="s">
        <v>25</v>
      </c>
      <c r="J140" s="21" t="s">
        <v>190</v>
      </c>
      <c r="K140" s="12" t="s">
        <v>234</v>
      </c>
      <c r="L140" s="12" t="s">
        <v>20</v>
      </c>
      <c r="M140" s="107">
        <v>36898</v>
      </c>
      <c r="N140" s="20">
        <v>40755.114961997067</v>
      </c>
      <c r="O140" s="24">
        <f t="shared" si="6"/>
        <v>1</v>
      </c>
    </row>
    <row r="141" spans="9:15" x14ac:dyDescent="0.25">
      <c r="I141" s="5" t="s">
        <v>25</v>
      </c>
      <c r="J141" s="54" t="s">
        <v>191</v>
      </c>
      <c r="K141" s="12" t="s">
        <v>234</v>
      </c>
      <c r="L141" s="12" t="s">
        <v>20</v>
      </c>
      <c r="M141" s="107">
        <v>33850</v>
      </c>
      <c r="N141" s="20">
        <v>37215.23051490909</v>
      </c>
      <c r="O141" s="24">
        <f t="shared" si="6"/>
        <v>1</v>
      </c>
    </row>
    <row r="142" spans="9:15" x14ac:dyDescent="0.25">
      <c r="I142" s="5" t="s">
        <v>25</v>
      </c>
      <c r="J142" s="54" t="s">
        <v>192</v>
      </c>
      <c r="K142" s="12" t="s">
        <v>234</v>
      </c>
      <c r="L142" s="12" t="s">
        <v>20</v>
      </c>
      <c r="M142" s="107">
        <v>36460</v>
      </c>
      <c r="N142" s="20">
        <v>38987.55668893447</v>
      </c>
      <c r="O142" s="24">
        <f t="shared" si="6"/>
        <v>1</v>
      </c>
    </row>
    <row r="143" spans="9:15" x14ac:dyDescent="0.25">
      <c r="I143" s="5" t="s">
        <v>25</v>
      </c>
      <c r="J143" s="54" t="s">
        <v>193</v>
      </c>
      <c r="K143" s="12" t="s">
        <v>234</v>
      </c>
      <c r="L143" s="12" t="s">
        <v>20</v>
      </c>
      <c r="M143" s="107">
        <v>62124</v>
      </c>
      <c r="N143" s="20">
        <v>58856.373818555425</v>
      </c>
      <c r="O143" s="24">
        <f t="shared" si="6"/>
        <v>1</v>
      </c>
    </row>
    <row r="144" spans="9:15" x14ac:dyDescent="0.25">
      <c r="I144" s="5" t="s">
        <v>25</v>
      </c>
      <c r="J144" s="54" t="s">
        <v>194</v>
      </c>
      <c r="K144" s="12" t="s">
        <v>234</v>
      </c>
      <c r="L144" s="12" t="s">
        <v>20</v>
      </c>
      <c r="M144" s="107">
        <v>28582</v>
      </c>
      <c r="N144" s="20">
        <v>30553.057512027819</v>
      </c>
      <c r="O144" s="24">
        <f t="shared" si="6"/>
        <v>1</v>
      </c>
    </row>
    <row r="145" spans="9:15" x14ac:dyDescent="0.25">
      <c r="I145" s="5" t="s">
        <v>25</v>
      </c>
      <c r="J145" s="54" t="s">
        <v>195</v>
      </c>
      <c r="K145" s="12" t="s">
        <v>234</v>
      </c>
      <c r="L145" s="12" t="s">
        <v>20</v>
      </c>
      <c r="M145" s="107">
        <v>35834</v>
      </c>
      <c r="N145" s="20">
        <v>34552.090608722268</v>
      </c>
      <c r="O145" s="24">
        <f t="shared" si="6"/>
        <v>1</v>
      </c>
    </row>
    <row r="146" spans="9:15" x14ac:dyDescent="0.25">
      <c r="I146" s="5" t="s">
        <v>25</v>
      </c>
      <c r="J146" s="54" t="s">
        <v>196</v>
      </c>
      <c r="K146" s="12" t="s">
        <v>234</v>
      </c>
      <c r="L146" s="12" t="s">
        <v>20</v>
      </c>
      <c r="M146" s="107">
        <v>52399</v>
      </c>
      <c r="N146" s="20">
        <v>54683.43854890229</v>
      </c>
      <c r="O146" s="24">
        <f t="shared" si="6"/>
        <v>1</v>
      </c>
    </row>
    <row r="147" spans="9:15" x14ac:dyDescent="0.25">
      <c r="I147" s="5" t="s">
        <v>25</v>
      </c>
      <c r="J147" s="54" t="s">
        <v>197</v>
      </c>
      <c r="K147" s="12" t="s">
        <v>234</v>
      </c>
      <c r="L147" s="12" t="s">
        <v>20</v>
      </c>
      <c r="M147" s="107">
        <v>33892</v>
      </c>
      <c r="N147" s="20">
        <v>39448.113973856642</v>
      </c>
      <c r="O147" s="24">
        <f t="shared" si="6"/>
        <v>1</v>
      </c>
    </row>
    <row r="148" spans="9:15" x14ac:dyDescent="0.25">
      <c r="I148" s="5" t="s">
        <v>25</v>
      </c>
      <c r="J148" s="54" t="s">
        <v>198</v>
      </c>
      <c r="K148" s="12" t="s">
        <v>234</v>
      </c>
      <c r="L148" s="12" t="s">
        <v>20</v>
      </c>
      <c r="M148" s="107">
        <v>53936</v>
      </c>
      <c r="N148" s="20">
        <v>49917.277954888414</v>
      </c>
      <c r="O148" s="24">
        <f t="shared" si="6"/>
        <v>1</v>
      </c>
    </row>
    <row r="149" spans="9:15" x14ac:dyDescent="0.25">
      <c r="I149" s="5" t="s">
        <v>35</v>
      </c>
      <c r="J149" s="54" t="s">
        <v>202</v>
      </c>
      <c r="K149" s="12" t="s">
        <v>234</v>
      </c>
      <c r="L149" s="12" t="s">
        <v>20</v>
      </c>
      <c r="M149" s="107">
        <v>7998</v>
      </c>
      <c r="N149" s="20">
        <v>8847.3907194281892</v>
      </c>
      <c r="O149" s="64"/>
    </row>
    <row r="150" spans="9:15" x14ac:dyDescent="0.25">
      <c r="I150" s="5" t="s">
        <v>35</v>
      </c>
      <c r="J150" s="54" t="s">
        <v>203</v>
      </c>
      <c r="K150" s="12" t="s">
        <v>234</v>
      </c>
      <c r="L150" s="12" t="s">
        <v>20</v>
      </c>
      <c r="M150" s="107">
        <v>2978</v>
      </c>
      <c r="N150" s="20">
        <v>3390.2202473909201</v>
      </c>
      <c r="O150" s="64"/>
    </row>
    <row r="151" spans="9:15" ht="15.75" thickBot="1" x14ac:dyDescent="0.3">
      <c r="I151" s="5" t="s">
        <v>35</v>
      </c>
      <c r="J151" s="54" t="s">
        <v>204</v>
      </c>
      <c r="K151" s="12" t="s">
        <v>234</v>
      </c>
      <c r="L151" s="12" t="s">
        <v>20</v>
      </c>
      <c r="M151" s="107">
        <v>4230</v>
      </c>
      <c r="N151" s="20">
        <v>4315.7974460806199</v>
      </c>
      <c r="O151" s="64"/>
    </row>
    <row r="152" spans="9:15" ht="15.75" thickBot="1" x14ac:dyDescent="0.3">
      <c r="I152" s="57" t="s">
        <v>235</v>
      </c>
      <c r="J152" s="53" t="s">
        <v>235</v>
      </c>
      <c r="K152" s="61"/>
      <c r="L152" s="61"/>
      <c r="M152" s="62">
        <f>SUM(M135,M117,M101,M82,M50,M30,M3)</f>
        <v>5896347</v>
      </c>
      <c r="N152" s="60">
        <f>SUM(N135,N117,N101,N82,N50,N30,N3)</f>
        <v>5935587.6429833993</v>
      </c>
      <c r="O152" s="63">
        <f>SUM(O135,O117,,O101,O82,O50,O30,O3)</f>
        <v>137</v>
      </c>
    </row>
    <row r="155" spans="9:15" x14ac:dyDescent="0.25">
      <c r="J155" s="110"/>
    </row>
  </sheetData>
  <mergeCells count="6">
    <mergeCell ref="Q35:X35"/>
    <mergeCell ref="O1:O2"/>
    <mergeCell ref="B35:F35"/>
    <mergeCell ref="B2:B3"/>
    <mergeCell ref="B16:B17"/>
    <mergeCell ref="B22:B23"/>
  </mergeCells>
  <conditionalFormatting sqref="J140">
    <cfRule type="expression" dxfId="23" priority="16">
      <formula>$E157="not in a pcn"</formula>
    </cfRule>
  </conditionalFormatting>
  <conditionalFormatting sqref="J84">
    <cfRule type="expression" dxfId="22" priority="15">
      <formula>$E102="not in a pcn"</formula>
    </cfRule>
  </conditionalFormatting>
  <conditionalFormatting sqref="J91">
    <cfRule type="expression" dxfId="21" priority="14">
      <formula>$E109="not in a pcn"</formula>
    </cfRule>
  </conditionalFormatting>
  <conditionalFormatting sqref="J95">
    <cfRule type="expression" dxfId="20" priority="13">
      <formula>$E113="not in a pcn"</formula>
    </cfRule>
  </conditionalFormatting>
  <conditionalFormatting sqref="J97">
    <cfRule type="expression" dxfId="19" priority="12">
      <formula>$E115="not in a pcn"</formula>
    </cfRule>
  </conditionalFormatting>
  <conditionalFormatting sqref="J1:J1048576">
    <cfRule type="duplicateValues" dxfId="18" priority="6"/>
  </conditionalFormatting>
  <conditionalFormatting sqref="T3">
    <cfRule type="expression" dxfId="17" priority="5">
      <formula>$D19="not in a pcn"</formula>
    </cfRule>
  </conditionalFormatting>
  <conditionalFormatting sqref="T10">
    <cfRule type="expression" dxfId="16" priority="4">
      <formula>$D26="not in a pcn"</formula>
    </cfRule>
  </conditionalFormatting>
  <conditionalFormatting sqref="T14">
    <cfRule type="expression" dxfId="15" priority="3">
      <formula>$D30="not in a pcn"</formula>
    </cfRule>
  </conditionalFormatting>
  <conditionalFormatting sqref="T16">
    <cfRule type="expression" dxfId="14" priority="2">
      <formula>$D32="not in a pcn"</formula>
    </cfRule>
  </conditionalFormatting>
  <conditionalFormatting sqref="W6">
    <cfRule type="expression" dxfId="13" priority="1">
      <formula>$D16="not in a pcn"</formula>
    </cfRule>
  </conditionalFormatting>
  <hyperlinks>
    <hyperlink ref="B1" r:id="rId1" display="https://www.england.nhs.uk/wp-content/uploads/2021/03/B0431-network-contract-des-guidance-for-21-22-in-england.pdf" xr:uid="{8774B8C2-A5CD-48A4-8490-2B0D7354E4BF}"/>
    <hyperlink ref="B15" r:id="rId2" display="https://www.england.nhs.uk/wp-content/uploads/2021/03/B0431-network-contract-des-guidance-for-21-22-in-england.pdf" xr:uid="{9C713ECC-B936-42BC-9F2A-A3C21CFBC8B1}"/>
    <hyperlink ref="B21" r:id="rId3" display="https://www.england.nhs.uk/wp-content/uploads/2021/07/B0764_Update-to-the-GP-contract-agreement-202122-202324-Financial-implications_July2021.pdf" xr:uid="{FA834BB5-D8A9-4115-A5F6-F7CBEF785559}"/>
  </hyperlinks>
  <pageMargins left="0.7" right="0.7" top="0.75" bottom="0.75" header="0.3" footer="0.3"/>
  <pageSetup paperSize="9" orientation="portrait" horizontalDpi="90" verticalDpi="9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C9F8-EAF3-4187-9F41-48E07C8AD899}">
  <dimension ref="A2:H16"/>
  <sheetViews>
    <sheetView zoomScale="80" zoomScaleNormal="80" workbookViewId="0">
      <selection activeCell="G20" sqref="G20"/>
    </sheetView>
  </sheetViews>
  <sheetFormatPr defaultRowHeight="15" x14ac:dyDescent="0.25"/>
  <cols>
    <col min="1" max="1" width="3" bestFit="1" customWidth="1"/>
    <col min="2" max="2" width="49.5703125" customWidth="1"/>
    <col min="3" max="6" width="11.28515625" bestFit="1" customWidth="1"/>
    <col min="7" max="7" width="14.5703125" bestFit="1" customWidth="1"/>
    <col min="8" max="8" width="74.42578125" bestFit="1" customWidth="1"/>
  </cols>
  <sheetData>
    <row r="2" spans="1:8" x14ac:dyDescent="0.25">
      <c r="A2" t="s">
        <v>274</v>
      </c>
      <c r="B2" t="s">
        <v>275</v>
      </c>
    </row>
    <row r="3" spans="1:8" x14ac:dyDescent="0.25">
      <c r="A3" t="s">
        <v>276</v>
      </c>
      <c r="B3" t="s">
        <v>277</v>
      </c>
      <c r="C3" s="283" t="s">
        <v>279</v>
      </c>
      <c r="D3" s="283" t="s">
        <v>279</v>
      </c>
      <c r="E3" s="283" t="s">
        <v>278</v>
      </c>
      <c r="F3" t="s">
        <v>278</v>
      </c>
    </row>
    <row r="4" spans="1:8" ht="30" x14ac:dyDescent="0.25">
      <c r="B4" s="19" t="s">
        <v>25</v>
      </c>
      <c r="C4" s="287" t="s">
        <v>65</v>
      </c>
      <c r="D4" s="287" t="s">
        <v>64</v>
      </c>
      <c r="E4" s="298" t="s">
        <v>65</v>
      </c>
      <c r="F4" s="298" t="s">
        <v>64</v>
      </c>
      <c r="G4" s="288" t="s">
        <v>15</v>
      </c>
      <c r="H4" s="287" t="s">
        <v>285</v>
      </c>
    </row>
    <row r="5" spans="1:8" x14ac:dyDescent="0.25">
      <c r="B5" s="289" t="s">
        <v>68</v>
      </c>
      <c r="C5" s="284">
        <v>66166</v>
      </c>
      <c r="D5" s="20">
        <v>64561.871343184139</v>
      </c>
      <c r="E5" s="299">
        <v>37978</v>
      </c>
      <c r="F5" s="300">
        <v>38973.896083969841</v>
      </c>
      <c r="G5" s="115" t="s">
        <v>280</v>
      </c>
      <c r="H5" s="11" t="s">
        <v>284</v>
      </c>
    </row>
    <row r="6" spans="1:8" x14ac:dyDescent="0.25">
      <c r="B6" s="289" t="s">
        <v>69</v>
      </c>
      <c r="C6" s="284">
        <v>36582</v>
      </c>
      <c r="D6" s="20">
        <v>32317.523455018971</v>
      </c>
      <c r="E6" s="299">
        <v>25320</v>
      </c>
      <c r="F6" s="300">
        <v>21852.20978218938</v>
      </c>
      <c r="G6" s="115" t="s">
        <v>280</v>
      </c>
      <c r="H6" s="11" t="s">
        <v>284</v>
      </c>
    </row>
    <row r="7" spans="1:8" x14ac:dyDescent="0.25">
      <c r="B7" s="289" t="s">
        <v>70</v>
      </c>
      <c r="C7" s="286">
        <v>37609</v>
      </c>
      <c r="D7" s="55">
        <v>33123.86954990818</v>
      </c>
      <c r="E7" s="299">
        <v>48871</v>
      </c>
      <c r="F7" s="300">
        <v>43589.183222737767</v>
      </c>
      <c r="G7" s="115" t="s">
        <v>280</v>
      </c>
      <c r="H7" s="11" t="s">
        <v>284</v>
      </c>
    </row>
    <row r="8" spans="1:8" x14ac:dyDescent="0.25">
      <c r="B8" s="289" t="s">
        <v>71</v>
      </c>
      <c r="C8" s="284">
        <v>10540</v>
      </c>
      <c r="D8" s="20">
        <v>10974.1971104269</v>
      </c>
      <c r="E8" s="299">
        <v>38728</v>
      </c>
      <c r="F8" s="300">
        <v>36562.172369641201</v>
      </c>
      <c r="G8" s="115" t="s">
        <v>280</v>
      </c>
      <c r="H8" s="11" t="s">
        <v>284</v>
      </c>
    </row>
    <row r="9" spans="1:8" x14ac:dyDescent="0.25">
      <c r="B9" s="289" t="s">
        <v>144</v>
      </c>
      <c r="C9" s="105">
        <v>41552</v>
      </c>
      <c r="D9" s="20">
        <v>47257.888279043276</v>
      </c>
      <c r="E9" s="301">
        <v>38496</v>
      </c>
      <c r="F9" s="302">
        <v>43603.074475873989</v>
      </c>
      <c r="G9" s="115" t="s">
        <v>281</v>
      </c>
      <c r="H9" s="11" t="s">
        <v>284</v>
      </c>
    </row>
    <row r="10" spans="1:8" x14ac:dyDescent="0.25">
      <c r="B10" s="289" t="s">
        <v>145</v>
      </c>
      <c r="C10" s="105">
        <v>46032</v>
      </c>
      <c r="D10" s="20">
        <v>48579.193690684639</v>
      </c>
      <c r="E10" s="301">
        <v>49088</v>
      </c>
      <c r="F10" s="302">
        <v>52234.007493853933</v>
      </c>
      <c r="G10" s="115" t="s">
        <v>281</v>
      </c>
      <c r="H10" s="11" t="s">
        <v>284</v>
      </c>
    </row>
    <row r="11" spans="1:8" x14ac:dyDescent="0.25">
      <c r="B11" s="289" t="s">
        <v>172</v>
      </c>
      <c r="C11" s="105">
        <v>36430</v>
      </c>
      <c r="D11" s="20">
        <v>40351.361895268936</v>
      </c>
      <c r="E11" s="301">
        <v>31416</v>
      </c>
      <c r="F11" s="302">
        <v>34440.520285130711</v>
      </c>
      <c r="G11" t="s">
        <v>282</v>
      </c>
      <c r="H11" s="11" t="s">
        <v>284</v>
      </c>
    </row>
    <row r="12" spans="1:8" x14ac:dyDescent="0.25">
      <c r="B12" s="289" t="s">
        <v>181</v>
      </c>
      <c r="C12" s="105">
        <v>31366</v>
      </c>
      <c r="D12" s="20">
        <v>32134.023882283502</v>
      </c>
      <c r="E12" s="301">
        <v>36380</v>
      </c>
      <c r="F12" s="302">
        <v>38044.865492421734</v>
      </c>
      <c r="G12" t="s">
        <v>282</v>
      </c>
      <c r="H12" s="11" t="s">
        <v>284</v>
      </c>
    </row>
    <row r="13" spans="1:8" x14ac:dyDescent="0.25">
      <c r="B13" s="281" t="s">
        <v>186</v>
      </c>
      <c r="C13" s="290">
        <v>81759</v>
      </c>
      <c r="D13" s="282">
        <v>81132.152705140383</v>
      </c>
      <c r="E13" s="303">
        <v>76656</v>
      </c>
      <c r="F13" s="304">
        <v>76457.780716612862</v>
      </c>
      <c r="G13" s="118" t="s">
        <v>283</v>
      </c>
      <c r="H13" s="24" t="s">
        <v>288</v>
      </c>
    </row>
    <row r="15" spans="1:8" x14ac:dyDescent="0.25">
      <c r="B15" t="s">
        <v>286</v>
      </c>
      <c r="C15" t="s">
        <v>292</v>
      </c>
    </row>
    <row r="16" spans="1:8" x14ac:dyDescent="0.25">
      <c r="B16" t="s">
        <v>287</v>
      </c>
    </row>
  </sheetData>
  <conditionalFormatting sqref="B5:B8">
    <cfRule type="containsText" dxfId="12" priority="11" operator="containsText" text="HOLSWORTHY, BUDE &amp; SURROUNDING VILLAGES PCN">
      <formula>NOT(ISERROR(SEARCH("HOLSWORTHY, BUDE &amp; SURROUNDING VILLAGES PCN",B5)))</formula>
    </cfRule>
    <cfRule type="containsText" dxfId="11" priority="12" operator="containsText" text="Practice not in a PCN">
      <formula>NOT(ISERROR(SEARCH("Practice not in a PCN",B5)))</formula>
    </cfRule>
    <cfRule type="containsText" dxfId="10" priority="13" operator="containsText" text="N/A">
      <formula>NOT(ISERROR(SEARCH("N/A",B5)))</formula>
    </cfRule>
  </conditionalFormatting>
  <conditionalFormatting sqref="B9:B10">
    <cfRule type="containsText" dxfId="9" priority="8" operator="containsText" text="HOLSWORTHY, BUDE &amp; SURROUNDING VILLAGES PCN">
      <formula>NOT(ISERROR(SEARCH("HOLSWORTHY, BUDE &amp; SURROUNDING VILLAGES PCN",B9)))</formula>
    </cfRule>
    <cfRule type="containsText" dxfId="8" priority="9" operator="containsText" text="Practice not in a PCN">
      <formula>NOT(ISERROR(SEARCH("Practice not in a PCN",B9)))</formula>
    </cfRule>
    <cfRule type="containsText" dxfId="7" priority="10" operator="containsText" text="N/A">
      <formula>NOT(ISERROR(SEARCH("N/A",B9)))</formula>
    </cfRule>
  </conditionalFormatting>
  <conditionalFormatting sqref="B11">
    <cfRule type="containsText" dxfId="6" priority="5" operator="containsText" text="HOLSWORTHY, BUDE &amp; SURROUNDING VILLAGES PCN">
      <formula>NOT(ISERROR(SEARCH("HOLSWORTHY, BUDE &amp; SURROUNDING VILLAGES PCN",B11)))</formula>
    </cfRule>
    <cfRule type="containsText" dxfId="5" priority="6" operator="containsText" text="Practice not in a PCN">
      <formula>NOT(ISERROR(SEARCH("Practice not in a PCN",B11)))</formula>
    </cfRule>
    <cfRule type="containsText" dxfId="4" priority="7" operator="containsText" text="N/A">
      <formula>NOT(ISERROR(SEARCH("N/A",B11)))</formula>
    </cfRule>
  </conditionalFormatting>
  <conditionalFormatting sqref="B12">
    <cfRule type="containsText" dxfId="3" priority="2" operator="containsText" text="HOLSWORTHY, BUDE &amp; SURROUNDING VILLAGES PCN">
      <formula>NOT(ISERROR(SEARCH("HOLSWORTHY, BUDE &amp; SURROUNDING VILLAGES PCN",B12)))</formula>
    </cfRule>
    <cfRule type="containsText" dxfId="2" priority="3" operator="containsText" text="Practice not in a PCN">
      <formula>NOT(ISERROR(SEARCH("Practice not in a PCN",B12)))</formula>
    </cfRule>
    <cfRule type="containsText" dxfId="1" priority="4" operator="containsText" text="N/A">
      <formula>NOT(ISERROR(SEARCH("N/A",B12)))</formula>
    </cfRule>
  </conditionalFormatting>
  <conditionalFormatting sqref="B13">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67" ma:contentTypeDescription="Create a new document." ma:contentTypeScope="" ma:versionID="310e6cbc692d9cf40c149570b8c5a343">
  <xsd:schema xmlns:xsd="http://www.w3.org/2001/XMLSchema" xmlns:xs="http://www.w3.org/2001/XMLSchema" xmlns:p="http://schemas.microsoft.com/office/2006/metadata/properties" xmlns:ns1="http://schemas.microsoft.com/sharepoint/v3" xmlns:ns2="b41187d2-c3e6-442b-9fdb-7907952f5bed" xmlns:ns3="0128a0a4-d523-4cd2-9385-8c778f5c879d" targetNamespace="http://schemas.microsoft.com/office/2006/metadata/properties" ma:root="true" ma:fieldsID="a601ceef1a7a949babab936557a6962b" ns1:_="" ns2:_="" ns3:_="">
    <xsd:import namespace="http://schemas.microsoft.com/sharepoint/v3"/>
    <xsd:import namespace="b41187d2-c3e6-442b-9fdb-7907952f5bed"/>
    <xsd:import namespace="0128a0a4-d523-4cd2-9385-8c778f5c879d"/>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00E04AB-234C-4985-B7EB-7F2EB66FE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B6AF3D-6B09-4D3B-B817-40CE9BF9786E}">
  <ds:schemaRefs>
    <ds:schemaRef ds:uri="http://schemas.microsoft.com/sharepoint/v3/contenttype/forms"/>
  </ds:schemaRefs>
</ds:datastoreItem>
</file>

<file path=customXml/itemProps3.xml><?xml version="1.0" encoding="utf-8"?>
<ds:datastoreItem xmlns:ds="http://schemas.openxmlformats.org/officeDocument/2006/customXml" ds:itemID="{7C04860E-F03E-4F17-80AA-3235E1E537E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41187d2-c3e6-442b-9fdb-7907952f5bed"/>
    <ds:schemaRef ds:uri="0128a0a4-d523-4cd2-9385-8c778f5c879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WTE Modelling</vt:lpstr>
      <vt:lpstr>Max Reimbursement Rates</vt:lpstr>
      <vt:lpstr>Lookup</vt:lpstr>
      <vt:lpstr>Version History</vt:lpstr>
      <vt:lpstr>CCG</vt:lpstr>
      <vt:lpstr>List_Size_PCN</vt:lpstr>
      <vt:lpstr>NHS_BNSSG_CCG</vt:lpstr>
      <vt:lpstr>NHS_BSW_CCG</vt:lpstr>
      <vt:lpstr>NHS_Devon_CCG</vt:lpstr>
      <vt:lpstr>NHS_Dorset_CCG</vt:lpstr>
      <vt:lpstr>NHS_Gloucestershire_CCG</vt:lpstr>
      <vt:lpstr>NHS_Kernow_CCG</vt:lpstr>
      <vt:lpstr>NHS_Somerset_CCG</vt:lpstr>
      <vt:lpstr>South_West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Longden, Alasdair</dc:creator>
  <cp:lastModifiedBy>Clare Royle</cp:lastModifiedBy>
  <dcterms:created xsi:type="dcterms:W3CDTF">2019-11-08T15:14:28Z</dcterms:created>
  <dcterms:modified xsi:type="dcterms:W3CDTF">2021-09-14T15:58:27Z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ies>
</file>